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570" windowWidth="18960" windowHeight="6510" tabRatio="807" firstSheet="1" activeTab="10"/>
  </bookViews>
  <sheets>
    <sheet name="TELEBUDGET Enfance adultes" sheetId="1" r:id="rId1"/>
    <sheet name="Données" sheetId="2" r:id="rId2"/>
    <sheet name="activité" sheetId="3" r:id="rId3"/>
    <sheet name="IME creton" sheetId="4" r:id="rId4"/>
    <sheet name="Charges d'exploitation" sheetId="5" r:id="rId5"/>
    <sheet name="produits" sheetId="6" r:id="rId6"/>
    <sheet name="section invest emplois" sheetId="7" r:id="rId7"/>
    <sheet name="section invest ressources" sheetId="8" r:id="rId8"/>
    <sheet name="tarifs" sheetId="9" r:id="rId9"/>
    <sheet name="effectifs" sheetId="10" r:id="rId10"/>
    <sheet name="Commentaires" sheetId="11" r:id="rId11"/>
  </sheets>
  <definedNames>
    <definedName name="_xlfn.SINGLE" hidden="1">#NAME?</definedName>
    <definedName name="AAutre1">0</definedName>
    <definedName name="AAutre1CARN2">0</definedName>
    <definedName name="AAUTRE1CATBPN">0</definedName>
    <definedName name="AAutre1DgN">0</definedName>
    <definedName name="AAUTRE1FOYBPN">0</definedName>
    <definedName name="AAUTRE1MASBPN">0</definedName>
    <definedName name="AAutre2">0</definedName>
    <definedName name="AAutre2CARN2">0</definedName>
    <definedName name="AAUTRE2CATBPN">0</definedName>
    <definedName name="AAutre2DgN">0</definedName>
    <definedName name="AAUTRE2FOYBPN">0</definedName>
    <definedName name="AAUTRE2MASBPN">0</definedName>
    <definedName name="AAutre3">0</definedName>
    <definedName name="AAutre3CARN2">0</definedName>
    <definedName name="AAUTRE3CATBPN">0</definedName>
    <definedName name="AAutre3DgN">0</definedName>
    <definedName name="AAUTRE3FOYBPN">0</definedName>
    <definedName name="AAUTRE3MASBPN">0</definedName>
    <definedName name="AAutre4">0</definedName>
    <definedName name="AAutre4CARN2">0</definedName>
    <definedName name="AAUTRE4CATBPN">0</definedName>
    <definedName name="AAutre4DgN">0</definedName>
    <definedName name="AAUTRE4FOYBPN">0</definedName>
    <definedName name="AAUTRE4MASBPN">0</definedName>
    <definedName name="AAutre5">0</definedName>
    <definedName name="AAutre5CARN2">0</definedName>
    <definedName name="AAUTRE5CATBPN">0</definedName>
    <definedName name="AAutre5DgN">0</definedName>
    <definedName name="AAUTRE5FOYBPN">0</definedName>
    <definedName name="AAUTRE5MASBPN">0</definedName>
    <definedName name="AAutre6">0</definedName>
    <definedName name="AAutre6CARN2">0</definedName>
    <definedName name="AAUTRE6CATBPN">0</definedName>
    <definedName name="AAutre6DgN">0</definedName>
    <definedName name="AAUTRE6FOYBPN">0</definedName>
    <definedName name="AAUTRE6MASBPN">0</definedName>
    <definedName name="AAutre7">0</definedName>
    <definedName name="AAutre7CARN2">0</definedName>
    <definedName name="AAUTRE7CATBPN">0</definedName>
    <definedName name="AAutre7DgN">0</definedName>
    <definedName name="AAUTRE7FOYBPN">0</definedName>
    <definedName name="AAUTRE7MASBPN">0</definedName>
    <definedName name="AAutre8">0</definedName>
    <definedName name="AAutre8CARN2">0</definedName>
    <definedName name="AAUTRE8CATBPN">0</definedName>
    <definedName name="AAutre8DgN">0</definedName>
    <definedName name="AAUTRE8FOYBPN">0</definedName>
    <definedName name="AAUTRE8MASBPN">0</definedName>
    <definedName name="AAutre9">0</definedName>
    <definedName name="AAutre9CARN2">0</definedName>
    <definedName name="AAUTRE9CATBPN">0</definedName>
    <definedName name="AAutre9DgN">0</definedName>
    <definedName name="AAUTRE9FOYBPN">0</definedName>
    <definedName name="AAUTRE9MASBPN">0</definedName>
    <definedName name="AMORTEXEDIFE_BE1">0</definedName>
    <definedName name="AMORTEXEDIFE_BP0">0</definedName>
    <definedName name="AMORTEXEDIFE_CA2">0</definedName>
    <definedName name="AMORTEXEDIFR_BE1">0</definedName>
    <definedName name="AMORTEXEDIFR_BP0">0</definedName>
    <definedName name="AMORTEXEDIFR_CA2">0</definedName>
    <definedName name="Année">2023</definedName>
    <definedName name="C_601_BEXN0">0</definedName>
    <definedName name="C_601_BEXN1">0</definedName>
    <definedName name="C_601_BPPN0">0</definedName>
    <definedName name="C_601_CARN2">0</definedName>
    <definedName name="C_601_MSNN0">0</definedName>
    <definedName name="C_602_BEXN0">0</definedName>
    <definedName name="C_602_BEXN1">0</definedName>
    <definedName name="C_602_BPPN0">0</definedName>
    <definedName name="C_602_CARN2">0</definedName>
    <definedName name="C_602_MSNN0">0</definedName>
    <definedName name="C_603_BEXN0">0</definedName>
    <definedName name="C_603_BEXN1">0</definedName>
    <definedName name="C_603_BPPN0">0</definedName>
    <definedName name="C_603_CARN2">0</definedName>
    <definedName name="C_603_MSNN0">0</definedName>
    <definedName name="C_603P_BEXN0">0</definedName>
    <definedName name="C_603P_BEXN1">0</definedName>
    <definedName name="C_603P_BPPN0">0</definedName>
    <definedName name="C_603P_CARN2">0</definedName>
    <definedName name="C_603P_MSNN0">0</definedName>
    <definedName name="C_606_BEXN0">0</definedName>
    <definedName name="C_606_BEXN1">0</definedName>
    <definedName name="C_606_BPPN0">0</definedName>
    <definedName name="C_606_CARN2">0</definedName>
    <definedName name="C_606_MSNN0">0</definedName>
    <definedName name="C_607_BEXN0">0</definedName>
    <definedName name="C_607_BEXN1">0</definedName>
    <definedName name="C_607_BPPN0">0</definedName>
    <definedName name="C_607_CARN2">0</definedName>
    <definedName name="C_607_MSNN0">0</definedName>
    <definedName name="C_609_BEXN0">0</definedName>
    <definedName name="C_609_BEXN1">0</definedName>
    <definedName name="C_609_BPPN0">0</definedName>
    <definedName name="C_609_CARN2">0</definedName>
    <definedName name="C_609_MSNN0">0</definedName>
    <definedName name="C_6111_BEXN0">0</definedName>
    <definedName name="C_6111_BEXN1">0</definedName>
    <definedName name="C_6111_BPPN0">0</definedName>
    <definedName name="C_6111_CARN2">0</definedName>
    <definedName name="C_6111_MSNN0">0</definedName>
    <definedName name="C_6112_BEXN0">0</definedName>
    <definedName name="C_6112_BEXN1">0</definedName>
    <definedName name="C_6112_BPPN0">0</definedName>
    <definedName name="C_6112_CARN2">0</definedName>
    <definedName name="C_6112_MSNN0">0</definedName>
    <definedName name="C_6118_BEXN0">0</definedName>
    <definedName name="C_6118_BEXN1">0</definedName>
    <definedName name="C_6118_BPPN0">0</definedName>
    <definedName name="C_6118_CARN2">0</definedName>
    <definedName name="C_6118_MSNN0">0</definedName>
    <definedName name="C_612_BEXN0">0</definedName>
    <definedName name="C_612_BEXN1">0</definedName>
    <definedName name="C_612_BPPN0">0</definedName>
    <definedName name="C_612_CARN2">0</definedName>
    <definedName name="C_612_MSNN0">0</definedName>
    <definedName name="C_6132_BEXN0">0</definedName>
    <definedName name="C_6132_BEXN1">0</definedName>
    <definedName name="C_6132_BPPN0">0</definedName>
    <definedName name="C_6132_CARN2">0</definedName>
    <definedName name="C_6132_MSNN0">0</definedName>
    <definedName name="C_6135_BEXN0">0</definedName>
    <definedName name="C_6135_BEXN1">0</definedName>
    <definedName name="C_6135_BPPN0">0</definedName>
    <definedName name="C_6135_CARN2">0</definedName>
    <definedName name="C_6135_MSNN0">0</definedName>
    <definedName name="C_614_BEXN0">0</definedName>
    <definedName name="C_614_BEXN1">0</definedName>
    <definedName name="C_614_BPPN0">0</definedName>
    <definedName name="C_614_CARN2">0</definedName>
    <definedName name="C_614_MSNN0">0</definedName>
    <definedName name="C_6152_BEXN0">0</definedName>
    <definedName name="C_6152_BEXN1">0</definedName>
    <definedName name="C_6152_BPPN0">0</definedName>
    <definedName name="C_6152_CARN2">0</definedName>
    <definedName name="C_6152_MSNN0">0</definedName>
    <definedName name="C_6155_BEXN0">0</definedName>
    <definedName name="C_6155_BEXN1">0</definedName>
    <definedName name="C_6155_BPPN0">0</definedName>
    <definedName name="C_6155_CARN2">0</definedName>
    <definedName name="C_6155_MSNN0">0</definedName>
    <definedName name="C_6156_BEXN0">0</definedName>
    <definedName name="C_6156_BEXN1">0</definedName>
    <definedName name="C_6156_BPPN0">0</definedName>
    <definedName name="C_6156_CARN2">0</definedName>
    <definedName name="C_6156_MSNN0">0</definedName>
    <definedName name="C_616_BEXN0">0</definedName>
    <definedName name="C_616_BEXN1">0</definedName>
    <definedName name="C_616_BPPN0">0</definedName>
    <definedName name="C_616_CARN2">0</definedName>
    <definedName name="C_616_MSNN0">0</definedName>
    <definedName name="C_617_BEXN0">0</definedName>
    <definedName name="C_617_BEXN1">0</definedName>
    <definedName name="C_617_BPPN0">0</definedName>
    <definedName name="C_617_CARN2">0</definedName>
    <definedName name="C_617_MSNN0">0</definedName>
    <definedName name="C_618_BEXN0">0</definedName>
    <definedName name="C_618_BEXN1">0</definedName>
    <definedName name="C_618_BPPN0">0</definedName>
    <definedName name="C_618_CARN2">0</definedName>
    <definedName name="C_618_MSNN0">0</definedName>
    <definedName name="C_619_BEXN0">0</definedName>
    <definedName name="C_619_BEXN1">0</definedName>
    <definedName name="C_619_BPPN0">0</definedName>
    <definedName name="C_619_CARN2">0</definedName>
    <definedName name="C_619_MSNN0">0</definedName>
    <definedName name="C_621_BEXN0">0</definedName>
    <definedName name="C_621_BEXN1">0</definedName>
    <definedName name="C_621_BPPN0">0</definedName>
    <definedName name="C_621_CARN2">0</definedName>
    <definedName name="C_621_MSNN0">0</definedName>
    <definedName name="C_622_BEXN0">0</definedName>
    <definedName name="C_622_BEXN1">0</definedName>
    <definedName name="C_622_BPPN0">0</definedName>
    <definedName name="C_622_CARN2">0</definedName>
    <definedName name="C_622_MSNN0">0</definedName>
    <definedName name="C_623_BEXN0">0</definedName>
    <definedName name="C_623_BEXN1">0</definedName>
    <definedName name="C_623_BPPN0">0</definedName>
    <definedName name="C_623_CARN2">0</definedName>
    <definedName name="C_623_MSNN0">0</definedName>
    <definedName name="C_6241_BEXN0">0</definedName>
    <definedName name="C_6241_BEXN1">0</definedName>
    <definedName name="C_6241_BPPN0">0</definedName>
    <definedName name="C_6241_CARN2">0</definedName>
    <definedName name="C_6241_MSNN0">0</definedName>
    <definedName name="C_6242_BEXN0">0</definedName>
    <definedName name="C_6242_BEXN1">0</definedName>
    <definedName name="C_6242_BPPN0">0</definedName>
    <definedName name="C_6242_CARN2">0</definedName>
    <definedName name="C_6242_MSNN0">0</definedName>
    <definedName name="C_6247_BEXN0">0</definedName>
    <definedName name="C_6247_BEXN1">0</definedName>
    <definedName name="C_6247_BPPN0">0</definedName>
    <definedName name="C_6247_CARN2">0</definedName>
    <definedName name="C_6247_MSNN0">0</definedName>
    <definedName name="C_6248_BEXN0">0</definedName>
    <definedName name="C_6248_BEXN1">0</definedName>
    <definedName name="C_6248_BPPN0">0</definedName>
    <definedName name="C_6248_CARN2">0</definedName>
    <definedName name="C_6248_MSNN0">0</definedName>
    <definedName name="C_625_BEXN0">0</definedName>
    <definedName name="C_625_BEXN1">0</definedName>
    <definedName name="C_625_BPPN0">0</definedName>
    <definedName name="C_625_CARN2">0</definedName>
    <definedName name="C_625_MSNN0">0</definedName>
    <definedName name="C_626_BEXN0">0</definedName>
    <definedName name="C_626_BEXN1">0</definedName>
    <definedName name="C_626_BPPN0">0</definedName>
    <definedName name="C_626_CARN2">0</definedName>
    <definedName name="C_626_MSNN0">0</definedName>
    <definedName name="C_627_BEXN0">0</definedName>
    <definedName name="C_627_BEXN1">0</definedName>
    <definedName name="C_627_BPPN0">0</definedName>
    <definedName name="C_627_CARN2">0</definedName>
    <definedName name="C_627_MSNN0">0</definedName>
    <definedName name="C_6281_BEXN0">0</definedName>
    <definedName name="C_6281_BEXN1">0</definedName>
    <definedName name="C_6281_BPPN0">0</definedName>
    <definedName name="C_6281_CARN2">0</definedName>
    <definedName name="C_6281_MSNN0">0</definedName>
    <definedName name="C_6282_BEXN0">0</definedName>
    <definedName name="C_6282_BEXN1">0</definedName>
    <definedName name="C_6282_BPPN0">0</definedName>
    <definedName name="C_6282_CARN2">0</definedName>
    <definedName name="C_6282_MSNN0">0</definedName>
    <definedName name="C_6283_BEXN0">0</definedName>
    <definedName name="C_6283_BEXN1">0</definedName>
    <definedName name="C_6283_BPPN0">0</definedName>
    <definedName name="C_6283_CARN2">0</definedName>
    <definedName name="C_6283_MSNN0">0</definedName>
    <definedName name="C_6284_BEXN0">0</definedName>
    <definedName name="C_6284_BEXN1">0</definedName>
    <definedName name="C_6284_BPPN0">0</definedName>
    <definedName name="C_6284_CARN2">0</definedName>
    <definedName name="C_6284_MSNN0">0</definedName>
    <definedName name="C_6287_BEXN0">0</definedName>
    <definedName name="C_6287_BEXN1">0</definedName>
    <definedName name="C_6287_BPPN0">0</definedName>
    <definedName name="C_6287_CARN2">0</definedName>
    <definedName name="C_6287_MSNN0">0</definedName>
    <definedName name="C_6288_BEXN0">0</definedName>
    <definedName name="C_6288_BEXN1">0</definedName>
    <definedName name="C_6288_BPPN0">0</definedName>
    <definedName name="C_6288_CARN2">0</definedName>
    <definedName name="C_6288_MSNN0">0</definedName>
    <definedName name="C_629_BEXN0">0</definedName>
    <definedName name="C_629_BEXN1">0</definedName>
    <definedName name="C_629_BPPN0">0</definedName>
    <definedName name="C_629_CARN2">0</definedName>
    <definedName name="C_629_MSNN0">0</definedName>
    <definedName name="C_631_BEXN0">0</definedName>
    <definedName name="C_631_BEXN1">0</definedName>
    <definedName name="C_631_BPPN0">0</definedName>
    <definedName name="C_631_CARN2">0</definedName>
    <definedName name="C_631_MSNN0">0</definedName>
    <definedName name="C_633_BEXN0">0</definedName>
    <definedName name="C_633_BEXN1">0</definedName>
    <definedName name="C_633_BPPN0">0</definedName>
    <definedName name="C_633_CARN2">0</definedName>
    <definedName name="C_633_MSNN0">0</definedName>
    <definedName name="C_635_BEXN0">0</definedName>
    <definedName name="C_635_BEXN1">0</definedName>
    <definedName name="C_635_BPPN0">0</definedName>
    <definedName name="C_635_CARN2">0</definedName>
    <definedName name="C_635_MSNN0">0</definedName>
    <definedName name="C_637_BEXN0">0</definedName>
    <definedName name="C_637_BEXN1">0</definedName>
    <definedName name="C_637_BPPN0">0</definedName>
    <definedName name="C_637_CARN2">0</definedName>
    <definedName name="C_637_MSNN0">0</definedName>
    <definedName name="C_641_BEXN0">0</definedName>
    <definedName name="C_641_BEXN1">0</definedName>
    <definedName name="C_641_BPPN0">0</definedName>
    <definedName name="C_641_CARN2">0</definedName>
    <definedName name="C_641_MSNN0">0</definedName>
    <definedName name="C_6419_BEXN0">0</definedName>
    <definedName name="C_6419_BEXN1">0</definedName>
    <definedName name="C_6419_BPPN0">0</definedName>
    <definedName name="C_6419_CARN2">0</definedName>
    <definedName name="C_6419_MSNN0">0</definedName>
    <definedName name="C_642_BEXN0">0</definedName>
    <definedName name="C_642_BEXN1">0</definedName>
    <definedName name="C_642_BPPN0">0</definedName>
    <definedName name="C_642_CARN2">0</definedName>
    <definedName name="C_642_MSNN0">0</definedName>
    <definedName name="C_6429_BEXN0">0</definedName>
    <definedName name="C_6429_BEXN1">0</definedName>
    <definedName name="C_6429_BPPN0">0</definedName>
    <definedName name="C_6429_CARN2">0</definedName>
    <definedName name="C_6429_MSNN0">0</definedName>
    <definedName name="C_643_BEXN0">0</definedName>
    <definedName name="C_643_BEXN1">0</definedName>
    <definedName name="C_643_BPPN0">0</definedName>
    <definedName name="C_643_CARN2">0</definedName>
    <definedName name="C_643_MSNN0">0</definedName>
    <definedName name="C_6439_BEXN0">0</definedName>
    <definedName name="C_6439_BEXN1">0</definedName>
    <definedName name="C_6439_BPPN0">0</definedName>
    <definedName name="C_6439_CARN2">0</definedName>
    <definedName name="C_6439_MSNN0">0</definedName>
    <definedName name="C_645_BEXN0">0</definedName>
    <definedName name="C_645_BEXN1">0</definedName>
    <definedName name="C_645_BPPN0">0</definedName>
    <definedName name="C_645_CARN2">0</definedName>
    <definedName name="C_645_MSNN0">0</definedName>
    <definedName name="C_6459_69_79_BEXN0">0</definedName>
    <definedName name="C_6459_69_79_BEXN1">0</definedName>
    <definedName name="C_6459_69_79_BPPN0">0</definedName>
    <definedName name="C_6459_69_79_CARN2">0</definedName>
    <definedName name="C_6459_69_79_MSNN0">0</definedName>
    <definedName name="C_646_BEXN0">0</definedName>
    <definedName name="C_646_BEXN1">0</definedName>
    <definedName name="C_646_BPPN0">0</definedName>
    <definedName name="C_646_CARN2">0</definedName>
    <definedName name="C_646_MSNN0">0</definedName>
    <definedName name="C_647_BEXN0">0</definedName>
    <definedName name="C_647_BEXN1">0</definedName>
    <definedName name="C_647_BPPN0">0</definedName>
    <definedName name="C_647_CARN2">0</definedName>
    <definedName name="C_647_MSNN0">0</definedName>
    <definedName name="C_648_BEXN0">0</definedName>
    <definedName name="C_648_BEXN1">0</definedName>
    <definedName name="C_648_BPPN0">0</definedName>
    <definedName name="C_648_CARN2">0</definedName>
    <definedName name="C_648_MSNN0">0</definedName>
    <definedName name="C_6489_BEXN0">0</definedName>
    <definedName name="C_6489_BEXN1">0</definedName>
    <definedName name="C_6489_BPPN0">0</definedName>
    <definedName name="C_6489_CARN2">0</definedName>
    <definedName name="C_6489_MSNN0">0</definedName>
    <definedName name="C_651_BEXN0">0</definedName>
    <definedName name="C_651_BEXN1">0</definedName>
    <definedName name="C_651_BPPN0">0</definedName>
    <definedName name="C_651_CARN2">0</definedName>
    <definedName name="C_651_MSNN0">0</definedName>
    <definedName name="C_654_BEXN0">0</definedName>
    <definedName name="C_654_BEXN1">0</definedName>
    <definedName name="C_654_BPPN0">0</definedName>
    <definedName name="C_654_CARN2">0</definedName>
    <definedName name="C_654_MSNN0">0</definedName>
    <definedName name="C_655_BEXN0">0</definedName>
    <definedName name="C_655_BEXN1">0</definedName>
    <definedName name="C_655_BPPN0">0</definedName>
    <definedName name="C_655_CARN2">0</definedName>
    <definedName name="C_655_MSNN0">0</definedName>
    <definedName name="C_657_BEXN0">0</definedName>
    <definedName name="C_657_BEXN1">0</definedName>
    <definedName name="C_657_BPPN0">0</definedName>
    <definedName name="C_657_CARN2">0</definedName>
    <definedName name="C_657_MSNN0">0</definedName>
    <definedName name="C_658_BEXN0">0</definedName>
    <definedName name="C_658_BEXN1">0</definedName>
    <definedName name="C_658_BPPN0">0</definedName>
    <definedName name="C_658_CARN2">0</definedName>
    <definedName name="C_658_MSNN0">0</definedName>
    <definedName name="C_66_BEXN0">0</definedName>
    <definedName name="C_66_BEXN1">0</definedName>
    <definedName name="C_66_BPPN0">0</definedName>
    <definedName name="C_66_CARN2">0</definedName>
    <definedName name="C_66_MSNN0">0</definedName>
    <definedName name="C_6611_BEXN0">0</definedName>
    <definedName name="C_6611_BEXN1">0</definedName>
    <definedName name="C_6611_BPPN0">0</definedName>
    <definedName name="C_6611_CARN2">0</definedName>
    <definedName name="C_6611_MSNN0">0</definedName>
    <definedName name="C_671_BEXN0">0</definedName>
    <definedName name="C_671_BEXN1">0</definedName>
    <definedName name="C_671_BPPN0">0</definedName>
    <definedName name="C_671_CARN2">0</definedName>
    <definedName name="C_671_MSNN0">0</definedName>
    <definedName name="C_673_BEXN0">0</definedName>
    <definedName name="C_673_BEXN1">0</definedName>
    <definedName name="C_673_BPPN0">0</definedName>
    <definedName name="C_673_CARN2">0</definedName>
    <definedName name="C_673_MSNN0">0</definedName>
    <definedName name="C_675_BEXN0">0</definedName>
    <definedName name="C_675_BEXN1">0</definedName>
    <definedName name="C_675_BPPN0">0</definedName>
    <definedName name="C_675_CARN2">0</definedName>
    <definedName name="C_675_MSNN0">0</definedName>
    <definedName name="C_678_BEXN0">0</definedName>
    <definedName name="C_678_BEXN1">0</definedName>
    <definedName name="C_678_BPPN0">0</definedName>
    <definedName name="C_678_CARN2">0</definedName>
    <definedName name="C_678_MSNN0">0</definedName>
    <definedName name="C_6811_BEXN0">0</definedName>
    <definedName name="C_6811_BEXN1">0</definedName>
    <definedName name="C_6811_BPPN0">0</definedName>
    <definedName name="C_6811_CARN2">0</definedName>
    <definedName name="C_6811_MSNN0">0</definedName>
    <definedName name="C_6812_BEXN0">0</definedName>
    <definedName name="C_6812_BEXN1">0</definedName>
    <definedName name="C_6812_BPPN0">0</definedName>
    <definedName name="C_6812_CARN2">0</definedName>
    <definedName name="C_6812_MSNN0">0</definedName>
    <definedName name="C_6815_BEXN0">0</definedName>
    <definedName name="C_6815_BEXN1">0</definedName>
    <definedName name="C_6815_BPPN0">0</definedName>
    <definedName name="C_6815_CARN2">0</definedName>
    <definedName name="C_6815_MSNN0">0</definedName>
    <definedName name="C_6816_BEXN0">0</definedName>
    <definedName name="C_6816_BEXN1">0</definedName>
    <definedName name="C_6816_BPPN0">0</definedName>
    <definedName name="C_6816_CARN2">0</definedName>
    <definedName name="C_6816_MSNN0">0</definedName>
    <definedName name="C_6817_BEXN0">0</definedName>
    <definedName name="C_6817_BEXN1">0</definedName>
    <definedName name="C_6817_BPPN0">0</definedName>
    <definedName name="C_6817_CARN2">0</definedName>
    <definedName name="C_6817_MSNN0">0</definedName>
    <definedName name="C_686_BEXN0">0</definedName>
    <definedName name="C_686_BEXN1">0</definedName>
    <definedName name="C_686_BPPN0">0</definedName>
    <definedName name="C_686_CARN2">0</definedName>
    <definedName name="C_686_MSNN0">0</definedName>
    <definedName name="C_687_BEXN0">0</definedName>
    <definedName name="C_687_BEXN1">0</definedName>
    <definedName name="C_687_BPPN0">0</definedName>
    <definedName name="C_687_CARN2">0</definedName>
    <definedName name="C_687_MSNN0">0</definedName>
    <definedName name="C_6871_BEXN0">0</definedName>
    <definedName name="C_6871_BEXN1">0</definedName>
    <definedName name="C_6871_BPPN0">0</definedName>
    <definedName name="C_6871_CARN2">0</definedName>
    <definedName name="C_6871_MSNN0">0</definedName>
    <definedName name="C_68725_BEXN0">0</definedName>
    <definedName name="C_68725_BEXN1">0</definedName>
    <definedName name="C_68725_BPPN0">0</definedName>
    <definedName name="C_68725_CARN2">0</definedName>
    <definedName name="C_68725_MSNN0">0</definedName>
    <definedName name="C_68741_BEXN0">0</definedName>
    <definedName name="C_68741_BEXN1">0</definedName>
    <definedName name="C_68741_BPPN0">0</definedName>
    <definedName name="C_68741_CARN2">0</definedName>
    <definedName name="C_68741_MSNN0">0</definedName>
    <definedName name="C_68742_BEXN0">0</definedName>
    <definedName name="C_68742_BEXN1">0</definedName>
    <definedName name="C_68742_BPPN0">0</definedName>
    <definedName name="C_68742_CARN2">0</definedName>
    <definedName name="C_68742_MSNN0">0</definedName>
    <definedName name="C_687461_BEXN0">0</definedName>
    <definedName name="C_687461_BEXN1">0</definedName>
    <definedName name="C_687461_BPPN0">0</definedName>
    <definedName name="C_687461_CARN2">0</definedName>
    <definedName name="C_687461_MSNN0">0</definedName>
    <definedName name="C_687462_BEXN0">0</definedName>
    <definedName name="C_687462_BEXN1">0</definedName>
    <definedName name="C_687462_BPPN0">0</definedName>
    <definedName name="C_687462_CARN2">0</definedName>
    <definedName name="C_687462_MSNN0">0</definedName>
    <definedName name="C_68748_BEXN0">0</definedName>
    <definedName name="C_68748_BEXN1">0</definedName>
    <definedName name="C_68748_BPPN0">0</definedName>
    <definedName name="C_68748_CARN2">0</definedName>
    <definedName name="C_68748_MSNN0">0</definedName>
    <definedName name="C_6876_BEXN0">0</definedName>
    <definedName name="C_6876_BEXN1">0</definedName>
    <definedName name="C_6876_BPPN0">0</definedName>
    <definedName name="C_6876_CARN2">0</definedName>
    <definedName name="C_6876_MSNN0">0</definedName>
    <definedName name="C_689_BEXN0">0</definedName>
    <definedName name="C_689_BEXN1">0</definedName>
    <definedName name="C_689_BPPN0">0</definedName>
    <definedName name="C_689_CARN2">0</definedName>
    <definedName name="C_689_MSNN0">0</definedName>
    <definedName name="C_6894_BEXN0">0</definedName>
    <definedName name="C_6894_BEXN1">0</definedName>
    <definedName name="C_6894_BPPN0">0</definedName>
    <definedName name="C_6894_CARN2">0</definedName>
    <definedName name="C_6894_MSNN0">0</definedName>
    <definedName name="C_6895_BEXN0">0</definedName>
    <definedName name="C_6895_BEXN1">0</definedName>
    <definedName name="C_6895_BPPN0">0</definedName>
    <definedName name="C_6895_CARN2">0</definedName>
    <definedName name="C_6895_MSNN0">0</definedName>
    <definedName name="C_6897_BEXN0">0</definedName>
    <definedName name="C_6897_BEXN1">0</definedName>
    <definedName name="C_6897_BPPN0">0</definedName>
    <definedName name="C_6897_CARN2">0</definedName>
    <definedName name="C_6897_MSNN0">0</definedName>
    <definedName name="C_70_BEXN0">0</definedName>
    <definedName name="C_70_BEXN1">0</definedName>
    <definedName name="C_70_BPPN0">0</definedName>
    <definedName name="C_70_CARN2">0</definedName>
    <definedName name="C_70_MSNN0">0</definedName>
    <definedName name="C_7082_BEXN0">0</definedName>
    <definedName name="C_7082_BEXN1">0</definedName>
    <definedName name="C_7082_BPPN0">0</definedName>
    <definedName name="C_7082_CARN2">0</definedName>
    <definedName name="C_7082_MSNN0">0</definedName>
    <definedName name="C_70821_BEXN0">0</definedName>
    <definedName name="C_70821_BEXN1">0</definedName>
    <definedName name="C_70821_BPPN0">0</definedName>
    <definedName name="C_70821_CARN2">0</definedName>
    <definedName name="C_70821_MSNN0">0</definedName>
    <definedName name="C_70822_BEXN0">0</definedName>
    <definedName name="C_70822_BEXN1">0</definedName>
    <definedName name="C_70822_BPPN0">0</definedName>
    <definedName name="C_70822_CARN2">0</definedName>
    <definedName name="C_70822_MSNN0">0</definedName>
    <definedName name="C_70823_BEXN0">0</definedName>
    <definedName name="C_70823_BEXN1">0</definedName>
    <definedName name="C_70823_BPPN0">0</definedName>
    <definedName name="C_70823_CARN2">0</definedName>
    <definedName name="C_70823_MSNN0">0</definedName>
    <definedName name="C_70828_BEXN0">0</definedName>
    <definedName name="C_70828_BEXN1">0</definedName>
    <definedName name="C_70828_BPPN0">0</definedName>
    <definedName name="C_70828_CARN2">0</definedName>
    <definedName name="C_70828_MSNN0">0</definedName>
    <definedName name="C_709_BEXN0">0</definedName>
    <definedName name="C_709_BEXN1">0</definedName>
    <definedName name="C_709_BPPN0">0</definedName>
    <definedName name="C_709_CARN2">0</definedName>
    <definedName name="C_709_MSNN0">0</definedName>
    <definedName name="C_71_BEXN0">0</definedName>
    <definedName name="C_71_BEXN1">0</definedName>
    <definedName name="C_71_BPPN0">0</definedName>
    <definedName name="C_71_CARN2">0</definedName>
    <definedName name="C_71_MSNN0">0</definedName>
    <definedName name="C_713_BEXN0">0</definedName>
    <definedName name="C_713_BEXN1">0</definedName>
    <definedName name="C_713_BPPN0">0</definedName>
    <definedName name="C_713_CARN2">0</definedName>
    <definedName name="C_713_MSNN0">0</definedName>
    <definedName name="C_72_BEXN0">0</definedName>
    <definedName name="C_72_BEXN1">0</definedName>
    <definedName name="C_72_BPPN0">0</definedName>
    <definedName name="C_72_CARN2">0</definedName>
    <definedName name="C_72_MSNN0">0</definedName>
    <definedName name="C_731_BEXN0">0</definedName>
    <definedName name="C_731_BEXN1">0</definedName>
    <definedName name="C_731_BPPN0">0</definedName>
    <definedName name="C_731_CARN2">0</definedName>
    <definedName name="C_731_MSNN0">0</definedName>
    <definedName name="C_732_BEXN0">0</definedName>
    <definedName name="C_732_BEXN1">0</definedName>
    <definedName name="C_732_BPPN0">0</definedName>
    <definedName name="C_732_CARN2">0</definedName>
    <definedName name="C_732_MSNN0">0</definedName>
    <definedName name="C_733_BEXN0">0</definedName>
    <definedName name="C_733_BEXN1">0</definedName>
    <definedName name="C_733_BPPN0">0</definedName>
    <definedName name="C_733_CARN2">0</definedName>
    <definedName name="C_733_MSNN0">0</definedName>
    <definedName name="C_734_BEXN0">0</definedName>
    <definedName name="C_734_BEXN1">0</definedName>
    <definedName name="C_734_BPPN0">0</definedName>
    <definedName name="C_734_CARN2">0</definedName>
    <definedName name="C_734_MSNN0">0</definedName>
    <definedName name="C_735_BEXN0">0</definedName>
    <definedName name="C_735_BEXN1">0</definedName>
    <definedName name="C_735_BPPN0">0</definedName>
    <definedName name="C_735_CARN2">0</definedName>
    <definedName name="C_735_MSNN0">0</definedName>
    <definedName name="C_7351_BEXN0">0</definedName>
    <definedName name="C_7351_BEXN1">0</definedName>
    <definedName name="C_7351_BPPN0">0</definedName>
    <definedName name="C_7351_CARN2">0</definedName>
    <definedName name="C_7351_MSNN0">0</definedName>
    <definedName name="C_7352_BEXN0">0</definedName>
    <definedName name="C_7352_BEXN1">0</definedName>
    <definedName name="C_7352_BPPN0">0</definedName>
    <definedName name="C_7352_CARN2">0</definedName>
    <definedName name="C_7352_MSNN0">0</definedName>
    <definedName name="C_7353_BEXN0">0</definedName>
    <definedName name="C_7353_BEXN1">0</definedName>
    <definedName name="C_7353_BPPN0">0</definedName>
    <definedName name="C_7353_CARN2">0</definedName>
    <definedName name="C_7353_MSNN0">0</definedName>
    <definedName name="C_738_BEXN0">0</definedName>
    <definedName name="C_738_BEXN1">0</definedName>
    <definedName name="C_738_BPPN0">0</definedName>
    <definedName name="C_738_CARN2">0</definedName>
    <definedName name="C_738_MSNN0">0</definedName>
    <definedName name="C_74_BEXN0">0</definedName>
    <definedName name="C_74_BEXN1">0</definedName>
    <definedName name="C_74_BPPN0">0</definedName>
    <definedName name="C_74_CARN2">0</definedName>
    <definedName name="C_74_MSNN0">0</definedName>
    <definedName name="C_75_BEXN0">0</definedName>
    <definedName name="C_75_BEXN1">0</definedName>
    <definedName name="C_75_BPPN0">0</definedName>
    <definedName name="C_75_CARN2">0</definedName>
    <definedName name="C_75_MSNN0">0</definedName>
    <definedName name="C_76_BEXN0">0</definedName>
    <definedName name="C_76_BEXN1">0</definedName>
    <definedName name="C_76_BPPN0">0</definedName>
    <definedName name="C_76_CARN2">0</definedName>
    <definedName name="C_76_MSNN0">0</definedName>
    <definedName name="C_771_BEXN0">0</definedName>
    <definedName name="C_771_BEXN1">0</definedName>
    <definedName name="C_771_BPPN0">0</definedName>
    <definedName name="C_771_CARN2">0</definedName>
    <definedName name="C_771_MSNN0">0</definedName>
    <definedName name="C_773_BEXN0">0</definedName>
    <definedName name="C_773_BEXN1">0</definedName>
    <definedName name="C_773_BPPN0">0</definedName>
    <definedName name="C_773_CARN2">0</definedName>
    <definedName name="C_773_MSNN0">0</definedName>
    <definedName name="C_775_BEXN0">0</definedName>
    <definedName name="C_775_BEXN1">0</definedName>
    <definedName name="C_775_BPPN0">0</definedName>
    <definedName name="C_775_CARN2">0</definedName>
    <definedName name="C_775_MSNN0">0</definedName>
    <definedName name="C_777_BEXN0">0</definedName>
    <definedName name="C_777_BEXN1">0</definedName>
    <definedName name="C_777_BPPN0">0</definedName>
    <definedName name="C_777_CARN2">0</definedName>
    <definedName name="C_777_MSNN0">0</definedName>
    <definedName name="C_778_BEXN0">0</definedName>
    <definedName name="C_778_BEXN1">0</definedName>
    <definedName name="C_778_BPPN0">0</definedName>
    <definedName name="C_778_CARN2">0</definedName>
    <definedName name="C_778_MSNN0">0</definedName>
    <definedName name="C_781_BEXN0">0</definedName>
    <definedName name="C_781_BEXN1">0</definedName>
    <definedName name="C_781_BPPN0">0</definedName>
    <definedName name="C_781_CARN2">0</definedName>
    <definedName name="C_781_MSNN0">0</definedName>
    <definedName name="C_786_BEXN0">0</definedName>
    <definedName name="C_786_BEXN1">0</definedName>
    <definedName name="C_786_BPPN0">0</definedName>
    <definedName name="C_786_CARN2">0</definedName>
    <definedName name="C_786_MSNN0">0</definedName>
    <definedName name="C_787_BEXN0">0</definedName>
    <definedName name="C_787_BEXN1">0</definedName>
    <definedName name="C_787_BPPN0">0</definedName>
    <definedName name="C_787_CARN2">0</definedName>
    <definedName name="C_787_MSNN0">0</definedName>
    <definedName name="C_78725_BEXN0">0</definedName>
    <definedName name="C_78725_BEXN1">0</definedName>
    <definedName name="C_78725_BPPN0">0</definedName>
    <definedName name="C_78725_CARN2">0</definedName>
    <definedName name="C_78725_MSNN0">0</definedName>
    <definedName name="C_78741_BEXN0">0</definedName>
    <definedName name="C_78741_BEXN1">0</definedName>
    <definedName name="C_78741_BPPN0">0</definedName>
    <definedName name="C_78741_CARN2">0</definedName>
    <definedName name="C_78741_MSNN0">0</definedName>
    <definedName name="C_78742_BEXN0">0</definedName>
    <definedName name="C_78742_BEXN1">0</definedName>
    <definedName name="C_78742_BPPN0">0</definedName>
    <definedName name="C_78742_CARN2">0</definedName>
    <definedName name="C_78742_MSNN0">0</definedName>
    <definedName name="C_787461_BEXN0">0</definedName>
    <definedName name="C_787461_BEXN1">0</definedName>
    <definedName name="C_787461_BPPN0">0</definedName>
    <definedName name="C_787461_CARN2">0</definedName>
    <definedName name="C_787461_MSNN0">0</definedName>
    <definedName name="C_787462_BEXN0">0</definedName>
    <definedName name="C_787462_BEXN1">0</definedName>
    <definedName name="C_787462_BPPN0">0</definedName>
    <definedName name="C_787462_CARN2">0</definedName>
    <definedName name="C_787462_MSNN0">0</definedName>
    <definedName name="C_78748_BEXN0">0</definedName>
    <definedName name="C_78748_BEXN1">0</definedName>
    <definedName name="C_78748_BPPN0">0</definedName>
    <definedName name="C_78748_CARN2">0</definedName>
    <definedName name="C_78748_MSNN0">0</definedName>
    <definedName name="C_7876_BEXN0">0</definedName>
    <definedName name="C_7876_BEXN1">0</definedName>
    <definedName name="C_7876_BPPN0">0</definedName>
    <definedName name="C_7876_CARN2">0</definedName>
    <definedName name="C_7876_MSNN0">0</definedName>
    <definedName name="C_789_BEXN0">0</definedName>
    <definedName name="C_789_BEXN1">0</definedName>
    <definedName name="C_789_BPPN0">0</definedName>
    <definedName name="C_789_CARN2">0</definedName>
    <definedName name="C_789_MSNN0">0</definedName>
    <definedName name="C_79_BEXN0">0</definedName>
    <definedName name="C_79_BEXN1">0</definedName>
    <definedName name="C_79_BPPN0">0</definedName>
    <definedName name="C_79_CARN2">0</definedName>
    <definedName name="C_79_MSNN0">0</definedName>
    <definedName name="C_791_BEXN0">0</definedName>
    <definedName name="C_791_BEXN1">0</definedName>
    <definedName name="C_791_BPPN0">0</definedName>
    <definedName name="C_791_CARN2">0</definedName>
    <definedName name="C_791_MSNN0">0</definedName>
    <definedName name="C_796_BEXN0">0</definedName>
    <definedName name="C_796_BEXN1">0</definedName>
    <definedName name="C_796_BPPN0">0</definedName>
    <definedName name="C_796_CARN2">0</definedName>
    <definedName name="C_796_MSNN0">0</definedName>
    <definedName name="C_797_BEXN0">0</definedName>
    <definedName name="C_797_BEXN1">0</definedName>
    <definedName name="C_797_BPPN0">0</definedName>
    <definedName name="C_797_CARN2">0</definedName>
    <definedName name="C_797_MSNN0">0</definedName>
    <definedName name="CE10000_BE1">0</definedName>
    <definedName name="CE10000_BP0">0</definedName>
    <definedName name="CE10000_CA2">0</definedName>
    <definedName name="CE11610_BE1">0</definedName>
    <definedName name="CE11610_BP0">0</definedName>
    <definedName name="CE11610_CA2">0</definedName>
    <definedName name="CE13000_BE1">0</definedName>
    <definedName name="CE13000_BP0">0</definedName>
    <definedName name="CE13000_CA2">0</definedName>
    <definedName name="CE14000_BE1">0</definedName>
    <definedName name="CE14000_BP0">0</definedName>
    <definedName name="CE14000_CA2">0</definedName>
    <definedName name="CE15000_BE1">0</definedName>
    <definedName name="CE15000_BP0">0</definedName>
    <definedName name="CE15000_CA2">0</definedName>
    <definedName name="CE16000_BE1">0</definedName>
    <definedName name="CE16000_BP0">0</definedName>
    <definedName name="CE16000_CA2">0</definedName>
    <definedName name="CE17000_BE1">0</definedName>
    <definedName name="CE17000_BP0">0</definedName>
    <definedName name="CE17000_CA2">0</definedName>
    <definedName name="CE18000_BE1">0</definedName>
    <definedName name="CE18000_BP0">0</definedName>
    <definedName name="CE18000_CA2">0</definedName>
    <definedName name="CE20000_BE1">0</definedName>
    <definedName name="CE20000_BP0">0</definedName>
    <definedName name="CE20000_CA2">0</definedName>
    <definedName name="CE21000_BE1">0</definedName>
    <definedName name="CE21000_BP0">0</definedName>
    <definedName name="CE21000_CA2">0</definedName>
    <definedName name="CE22000_BE1">0</definedName>
    <definedName name="CE22000_BP0">0</definedName>
    <definedName name="CE22000_CA2">0</definedName>
    <definedName name="CE23000_BE1">0</definedName>
    <definedName name="CE23000_BP0">0</definedName>
    <definedName name="CE23000_CA2">0</definedName>
    <definedName name="CE24000_BE1">0</definedName>
    <definedName name="CE24000_BP0">0</definedName>
    <definedName name="CE24000_CA2">0</definedName>
    <definedName name="CE26000_BE1">0</definedName>
    <definedName name="CE26000_BP0">0</definedName>
    <definedName name="CE26000_CA2">0</definedName>
    <definedName name="CE27000_BE1">0</definedName>
    <definedName name="CE27000_BP0">0</definedName>
    <definedName name="CE27000_CA2">0</definedName>
    <definedName name="CE28000_BE1">0</definedName>
    <definedName name="CE28000_BP0">0</definedName>
    <definedName name="CE28000_CA2">0</definedName>
    <definedName name="CE29000_BE1">0</definedName>
    <definedName name="CE29000_BP0">0</definedName>
    <definedName name="CE29000_CA2">0</definedName>
    <definedName name="CE39000_BE1">0</definedName>
    <definedName name="CE39000_BP0">0</definedName>
    <definedName name="CE39000_CA2">0</definedName>
    <definedName name="CE48100_BE1">0</definedName>
    <definedName name="CE48100_BP0">0</definedName>
    <definedName name="CE48100_CA2">0</definedName>
    <definedName name="CE49000_BE1">0</definedName>
    <definedName name="CE49000_BP0">0</definedName>
    <definedName name="CE49000_CA2">0</definedName>
    <definedName name="CE59000_BE1">0</definedName>
    <definedName name="CE59000_BP0">0</definedName>
    <definedName name="CE59000_CA2">0</definedName>
    <definedName name="CR_Version">'Données'!$A$1</definedName>
    <definedName name="CR10000_BE1">0</definedName>
    <definedName name="CR10000_BP0">0</definedName>
    <definedName name="CR10000_CA2">0</definedName>
    <definedName name="CR11610_BE1">0</definedName>
    <definedName name="CR11610_BP0">0</definedName>
    <definedName name="CR11610_CA2">0</definedName>
    <definedName name="CR13000_BE1">0</definedName>
    <definedName name="CR13000_BP0">0</definedName>
    <definedName name="CR13000_CA2">0</definedName>
    <definedName name="CR14000_BE1">0</definedName>
    <definedName name="CR14000_BP0">0</definedName>
    <definedName name="CR14000_CA2">0</definedName>
    <definedName name="CR15000_BE1">0</definedName>
    <definedName name="CR15000_BP0">0</definedName>
    <definedName name="CR15000_CA2">0</definedName>
    <definedName name="CR16000_BE1">0</definedName>
    <definedName name="CR16000_BP0">0</definedName>
    <definedName name="CR16000_CA2">0</definedName>
    <definedName name="CR17000_BE1">0</definedName>
    <definedName name="CR17000_BP0">0</definedName>
    <definedName name="CR17000_CA2">0</definedName>
    <definedName name="CR18000_BE1">0</definedName>
    <definedName name="CR18000_BP0">0</definedName>
    <definedName name="CR18000_CA2">0</definedName>
    <definedName name="CR20000_BE1">0</definedName>
    <definedName name="CR20000_BP0">0</definedName>
    <definedName name="CR20000_CA2">0</definedName>
    <definedName name="CR21000_BE1">0</definedName>
    <definedName name="CR21000_BP0">0</definedName>
    <definedName name="CR21000_CA2">0</definedName>
    <definedName name="CR22000_BE1">0</definedName>
    <definedName name="CR22000_BP0">0</definedName>
    <definedName name="CR22000_CA2">0</definedName>
    <definedName name="CR23000_BE1">0</definedName>
    <definedName name="CR23000_BP0">0</definedName>
    <definedName name="CR23000_CA2">0</definedName>
    <definedName name="CR24000_BE1">0</definedName>
    <definedName name="CR24000_BP0">0</definedName>
    <definedName name="CR24000_CA2">0</definedName>
    <definedName name="CR26000_BE1">0</definedName>
    <definedName name="CR26000_BP0">0</definedName>
    <definedName name="CR26000_CA2">0</definedName>
    <definedName name="CR27000_BE1">0</definedName>
    <definedName name="CR27000_BP0">0</definedName>
    <definedName name="CR27000_CA2">0</definedName>
    <definedName name="CR28000_BE1">0</definedName>
    <definedName name="CR28000_BP0">0</definedName>
    <definedName name="CR28000_CA2">0</definedName>
    <definedName name="CR29000_BE1">0</definedName>
    <definedName name="CR29000_BP0">0</definedName>
    <definedName name="CR29000_CA2">0</definedName>
    <definedName name="CR39000_BE1">0</definedName>
    <definedName name="CR39000_BP0">0</definedName>
    <definedName name="CR39000_CA2">0</definedName>
    <definedName name="CR48100_BE1">0</definedName>
    <definedName name="CR48100_BP0">0</definedName>
    <definedName name="CR48100_CA2">0</definedName>
    <definedName name="CR49000_BE1">0</definedName>
    <definedName name="CR49000_BP0">0</definedName>
    <definedName name="CR49000_CA2">0</definedName>
    <definedName name="CR59000_BE1">0</definedName>
    <definedName name="CR59000_BP0">0</definedName>
    <definedName name="CR59000_CA2">0</definedName>
    <definedName name="DeficBEXN0">0</definedName>
    <definedName name="DeficBEXN1">0</definedName>
    <definedName name="DeficBPPN0">0</definedName>
    <definedName name="DeficBRN0">0</definedName>
    <definedName name="DeficCARN2">0</definedName>
    <definedName name="DeficMSNN0">0</definedName>
    <definedName name="Etab_Adresse1">" "</definedName>
    <definedName name="Etab_Adresse2">" "</definedName>
    <definedName name="Etab_CapaciteAutorisee">0</definedName>
    <definedName name="Etab_Categorieétablissement">" "</definedName>
    <definedName name="Etab_CodePostal">0</definedName>
    <definedName name="Etab_Commune">" "</definedName>
    <definedName name="Etab_Conventioncollective">0</definedName>
    <definedName name="Etab_Directeur">" "</definedName>
    <definedName name="Etab_Email">" "</definedName>
    <definedName name="Etab_Fax">0</definedName>
    <definedName name="Etab_GenreDirecteur">" "</definedName>
    <definedName name="Etab_Nfiness">0</definedName>
    <definedName name="Etab_Nom">" "</definedName>
    <definedName name="Etab_Secteurétablissement">" "</definedName>
    <definedName name="Etab_Tel1">0</definedName>
    <definedName name="ExedBEXN0">0</definedName>
    <definedName name="ExedBEXN1">0</definedName>
    <definedName name="ExedBPPN0">0</definedName>
    <definedName name="ExedBRN0">0</definedName>
    <definedName name="ExedCARN2">0</definedName>
    <definedName name="ExedMSNN0">0</definedName>
    <definedName name="Externat">0</definedName>
    <definedName name="ExternatCARN2">0</definedName>
    <definedName name="EXTERNATCATBPN">0</definedName>
    <definedName name="ExternatDgN">0</definedName>
    <definedName name="EXTERNATFOYBPN">0</definedName>
    <definedName name="EXTERNATMASBPN">0</definedName>
    <definedName name="FGROUPE1_Budgetret">0</definedName>
    <definedName name="FGROUPE1PRO_Budgetret">0</definedName>
    <definedName name="FGROUPE2_Budgetret">0</definedName>
    <definedName name="FGROUPE2PRO_Budgetret">0</definedName>
    <definedName name="FGROUPE3_Budgetret">0</definedName>
    <definedName name="FGROUPE3PRO_Budgetret">0</definedName>
    <definedName name="FTarifExt_Budgetpro_">0</definedName>
    <definedName name="FTarifExt_Budgetret_">0</definedName>
    <definedName name="FTarifInt_Budgetpro_">0</definedName>
    <definedName name="FTarifInt_Budgetret_">0</definedName>
    <definedName name="FTarifIntScol_Budgetpro_">0</definedName>
    <definedName name="FTarifIntScol_Budgetret_">0</definedName>
    <definedName name="FTarifSemiInt_Budgetpro_">0</definedName>
    <definedName name="FTarifSemiInt_Budgetret_">0</definedName>
    <definedName name="_xlnm.Print_Titles">#N/A</definedName>
    <definedName name="Internat">0</definedName>
    <definedName name="InternatCARN2">0</definedName>
    <definedName name="INTERNATCATBPN">0</definedName>
    <definedName name="InternatDgN">0</definedName>
    <definedName name="INTERNATFOYBPN">0</definedName>
    <definedName name="INTERNATMASBPN">0</definedName>
    <definedName name="JourPrevBPPN0">0</definedName>
    <definedName name="JourPrevBRN0">0</definedName>
    <definedName name="JrsAAutre1">0</definedName>
    <definedName name="JrsAAutre1BPRN">0</definedName>
    <definedName name="JrsAAutre1BPRN1">0</definedName>
    <definedName name="JrsAAutre1CARN2">0</definedName>
    <definedName name="JrsAAutre1CARN3">0</definedName>
    <definedName name="JrsAAutre1CARN4">0</definedName>
    <definedName name="JrsAAutre1DgBPN">0</definedName>
    <definedName name="JrsAAutre1DgBPRN">0</definedName>
    <definedName name="JrsAAutre2">0</definedName>
    <definedName name="JrsAAutre2BPRN">0</definedName>
    <definedName name="JrsAAutre2BPRN1">0</definedName>
    <definedName name="JrsAAutre2CARN2">0</definedName>
    <definedName name="JrsAAutre2CARN3">0</definedName>
    <definedName name="JrsAAutre2CARN4">0</definedName>
    <definedName name="JrsAAutre2DgBPN">0</definedName>
    <definedName name="JrsAAutre2DgBPRN">0</definedName>
    <definedName name="JrsAAutre3">0</definedName>
    <definedName name="JrsAAutre3BPRN">0</definedName>
    <definedName name="JrsAAutre3BPRN1">0</definedName>
    <definedName name="JrsAAutre3CARN2">0</definedName>
    <definedName name="JrsAAutre3CARN3">0</definedName>
    <definedName name="JrsAAutre3CARN4">0</definedName>
    <definedName name="JrsAAutre3DgBPN">0</definedName>
    <definedName name="JrsAAutre3DgBPRN">0</definedName>
    <definedName name="JrsAAutre4">0</definedName>
    <definedName name="JrsAAutre4BPRN">0</definedName>
    <definedName name="JrsAAutre4BPRN1">0</definedName>
    <definedName name="JrsAAutre4CARN2">0</definedName>
    <definedName name="JrsAAutre4CARN3">0</definedName>
    <definedName name="JrsAAutre4CARN4">0</definedName>
    <definedName name="JrsAAutre4DgBPN">0</definedName>
    <definedName name="JrsAAutre4DgBPRN">0</definedName>
    <definedName name="JrsAAutre5">0</definedName>
    <definedName name="JrsAAutre5BPRN">0</definedName>
    <definedName name="JrsAAutre5BPRN1">0</definedName>
    <definedName name="JrsAAutre5CARN2">0</definedName>
    <definedName name="JrsAAutre5CARN3">0</definedName>
    <definedName name="JrsAAutre5CARN4">0</definedName>
    <definedName name="JrsAAutre5DgBPN">0</definedName>
    <definedName name="JrsAAutre5DgBPRN">0</definedName>
    <definedName name="JrsAAutre6">0</definedName>
    <definedName name="JrsAAutre6BPRN">0</definedName>
    <definedName name="JrsAAutre6BPRN1">0</definedName>
    <definedName name="JrsAAutre6CARN2">0</definedName>
    <definedName name="JrsAAutre6CARN3">0</definedName>
    <definedName name="JrsAAutre6CARN4">0</definedName>
    <definedName name="JrsAAutre6DgBPN">0</definedName>
    <definedName name="JrsAAutre6DgBPRN">0</definedName>
    <definedName name="JrsAAutre7">0</definedName>
    <definedName name="JrsAAutre7BPRN">0</definedName>
    <definedName name="JrsAAutre7BPRN1">0</definedName>
    <definedName name="JrsAAutre7CARN2">0</definedName>
    <definedName name="JrsAAutre7CARN3">0</definedName>
    <definedName name="JrsAAutre7CARN4">0</definedName>
    <definedName name="JrsAAutre7DgBPN">0</definedName>
    <definedName name="JrsAAutre7DgBPRN">0</definedName>
    <definedName name="JrsAAutre8">0</definedName>
    <definedName name="JrsAAutre8BPRN">0</definedName>
    <definedName name="JrsAAutre8BPRN1">0</definedName>
    <definedName name="JrsAAutre8CARN2">0</definedName>
    <definedName name="JrsAAutre8CARN3">0</definedName>
    <definedName name="JrsAAutre8CARN4">0</definedName>
    <definedName name="JrsAAutre8DgBPN">0</definedName>
    <definedName name="JrsAAutre8DgBPRN">0</definedName>
    <definedName name="JrsAAutre9">0</definedName>
    <definedName name="JrsAAutre9BPRN">0</definedName>
    <definedName name="JrsAAutre9BPRN1">0</definedName>
    <definedName name="JrsAAutre9CARN2">0</definedName>
    <definedName name="JrsAAutre9CARN3">0</definedName>
    <definedName name="JrsAAutre9CARN4">0</definedName>
    <definedName name="JrsAAutre9DgBPN">0</definedName>
    <definedName name="JrsAAutre9DgBPRN">0</definedName>
    <definedName name="JrsExternat">0</definedName>
    <definedName name="JrsExternatBPRN">0</definedName>
    <definedName name="JrsExternatBPRN1">0</definedName>
    <definedName name="JrsExternatCARN2">0</definedName>
    <definedName name="JrsExternatCARN3">0</definedName>
    <definedName name="JrsExternatCARN4">0</definedName>
    <definedName name="JrsExternatDgBPN">0</definedName>
    <definedName name="JrsExternatDgBPRN">0</definedName>
    <definedName name="JrsInternat">0</definedName>
    <definedName name="JrsInternatBPRN">0</definedName>
    <definedName name="JrsInternatBPRN1">0</definedName>
    <definedName name="JrsInternatCARN2">0</definedName>
    <definedName name="JrsInternatCARN3">0</definedName>
    <definedName name="JrsInternatCARN4">0</definedName>
    <definedName name="JrsInternatDgBPN">0</definedName>
    <definedName name="JrsInternatDgBPRN">0</definedName>
    <definedName name="JrsOuvAAutre1">0</definedName>
    <definedName name="JrsOuvAAutre2">0</definedName>
    <definedName name="JrsOuvAAutre3">0</definedName>
    <definedName name="JrsOuvAAutre4">0</definedName>
    <definedName name="JrsOuvAAutre5">0</definedName>
    <definedName name="JrsOuvAAutre6">0</definedName>
    <definedName name="JrsOuvAAutre7">0</definedName>
    <definedName name="JrsOuvAAutre8">0</definedName>
    <definedName name="JrsOuvAAutre9">0</definedName>
    <definedName name="JrsOuvExtern">0</definedName>
    <definedName name="JrsOuvIntern">0</definedName>
    <definedName name="JrsOuvSemiInt">0</definedName>
    <definedName name="JrsSemiInt">0</definedName>
    <definedName name="JrsSemiIntBPRN">0</definedName>
    <definedName name="JrsSemiIntBPRN1">0</definedName>
    <definedName name="JrsSemiIntCARN2">0</definedName>
    <definedName name="JrsSemiIntCARN3">0</definedName>
    <definedName name="JrsSemiIntCARN4">0</definedName>
    <definedName name="JrsSemiIntDgBPN">0</definedName>
    <definedName name="JrsSemiIntDgBPRN">0</definedName>
    <definedName name="LIBELLE_AUTRE1">"Autre1"</definedName>
    <definedName name="LIBELLE_AUTRE2">"Autre2"</definedName>
    <definedName name="LIBELLE_AUTRE3">"Autre1"</definedName>
    <definedName name="LIBELLE_AUTRE4">"Autre4"</definedName>
    <definedName name="LIBELLE_AUTRE5">"Autre5"</definedName>
    <definedName name="LIBELLE_AUTRE6">"Autre6"</definedName>
    <definedName name="LIBELLE_AUTRE7">"Autre7"</definedName>
    <definedName name="LIBELLE_AUTRE8">"Autre8"</definedName>
    <definedName name="LIBELLE_AUTRE9">"Autre9"</definedName>
    <definedName name="NJrsAAutre1_COM">" "</definedName>
    <definedName name="NJrsAAutre2_COM">" "</definedName>
    <definedName name="NJrsAAutre3_COM">" "</definedName>
    <definedName name="NJrsAAutre4_COM">" "</definedName>
    <definedName name="NJrsAAutre5_COM">" "</definedName>
    <definedName name="NJrsAAutre6_COM">" "</definedName>
    <definedName name="NJrsAAutre7_COM">" "</definedName>
    <definedName name="NJrsAAutre8_COM">" "</definedName>
    <definedName name="NJrsAAutre9_COM">" "</definedName>
    <definedName name="NJrsExternat_COM">" "</definedName>
    <definedName name="NJrsInternat_COM">" "</definedName>
    <definedName name="NJrsIntScolBPPN0">0</definedName>
    <definedName name="NJrsIntScolBPRN0">0</definedName>
    <definedName name="NJrsSemiInt_COM">" "</definedName>
    <definedName name="NNAgTPGestAAB_Budgetex_N1">0</definedName>
    <definedName name="NNAgTPGestACP_Budgetex_N1">0</definedName>
    <definedName name="NNAgTPGestADA_Budgetex_N1">0</definedName>
    <definedName name="NNAgTPGestAGG_Budgetex_N1">0</definedName>
    <definedName name="NNAgTPGestAM2_Budgetex_N1">0</definedName>
    <definedName name="NNAgTPGestANS_Budgetex_N1">0</definedName>
    <definedName name="NNAgTPGestAPD_Budgetex_N1">0</definedName>
    <definedName name="NNAgTPGestAPE_Budgetex_N1">0</definedName>
    <definedName name="NNAgTPGestASE_Budgetex_N1">0</definedName>
    <definedName name="NNAgTPGestASL_Budgetex_N1">0</definedName>
    <definedName name="NNAgTPGestASM_Budgetex_N1">0</definedName>
    <definedName name="NNAgTPGestASO_Budgetex_N1">0</definedName>
    <definedName name="NNAgTPGestASP_Budgetex_N1">0</definedName>
    <definedName name="NNAgTPGestASS_Budgetex_N1">0</definedName>
    <definedName name="NNAgTPGestAUP_Budgetex_N1">0</definedName>
    <definedName name="NNAgTPGestCAT_Budgetex_N1">0</definedName>
    <definedName name="NNAgTPGestCDS_Budgetex_N1">0</definedName>
    <definedName name="NNAgTPGestCEE_Budgetex_N1">0</definedName>
    <definedName name="NNAgTPGestCES_Budgetex_N1">0</definedName>
    <definedName name="NNAgTPGestCIE_Budgetex_N1">0</definedName>
    <definedName name="NNAgTPGestCIP_Budgetex_N1">0</definedName>
    <definedName name="NNAgTPGestCPR_Budgetex_N1">0</definedName>
    <definedName name="NNAgTPGestCSE_Budgetex_N1">0</definedName>
    <definedName name="NNAgTPGestDAJ_Budgetex_N1">0</definedName>
    <definedName name="NNAgTPGestDCT_Budgetex_N1">0</definedName>
    <definedName name="NNAgTPGestEAM_Budgetex_N1">0</definedName>
    <definedName name="NNAgTPGestEDS_Budgetex_N1">0</definedName>
    <definedName name="NNAgTPGestEDT_Budgetex_N1">0</definedName>
    <definedName name="NNAgTPGestEEE_Budgetex_N1">0</definedName>
    <definedName name="NNAgTPGestEES_Budgetex_N1">0</definedName>
    <definedName name="NNAgTPGestEME_Budgetex_N1">0</definedName>
    <definedName name="NNAgTPGestERG_Budgetex_N1">0</definedName>
    <definedName name="NNAgTPGestESC_Budgetex_N1">0</definedName>
    <definedName name="NNAgTPGestESE_Budgetex_N1">0</definedName>
    <definedName name="NNAgTPGestETE_Budgetex_N1">0</definedName>
    <definedName name="NNAgTPGestETS_Budgetex_N1">0</definedName>
    <definedName name="NNAgTPGestFAM_Budgetex_N1">0</definedName>
    <definedName name="NNAgTPGestFES_Budgetex_N1">0</definedName>
    <definedName name="NNAgTPGestFME_Budgetex_N1">0</definedName>
    <definedName name="NNAgTPGestIDE_Budgetex_N1">0</definedName>
    <definedName name="NNAgTPGestIPY_Budgetex_N1">0</definedName>
    <definedName name="NNAgTPGestITS_Budgetex_N1">0</definedName>
    <definedName name="NNAgTPGestITT_Budgetex_N1">0</definedName>
    <definedName name="NNAgTPGestMAU_Budgetex_N1">0</definedName>
    <definedName name="NNAgTPGestMDM_Budgetex_N1">0</definedName>
    <definedName name="NNAgTPGestMDR_Budgetex_N1">0</definedName>
    <definedName name="NNAgTPGestMEM_Budgetex_N1">0</definedName>
    <definedName name="NNAgTPGestMGE_Budgetex_N1">0</definedName>
    <definedName name="NNAgTPGestMJE_Budgetex_N1">0</definedName>
    <definedName name="NNAgTPGestMKI_Budgetex_N1">0</definedName>
    <definedName name="NNAgTPGestMOA_Budgetex_N1">0</definedName>
    <definedName name="NNAgTPGestMOE_Budgetex_N1">0</definedName>
    <definedName name="NNAgTPGestMRF_Budgetex_N1">0</definedName>
    <definedName name="NNAgTPGestORP_Budgetex_N1">0</definedName>
    <definedName name="NNAgTPGestORT_Budgetex_N1">0</definedName>
    <definedName name="NNAgTPGestOUP_Budgetex_N1">0</definedName>
    <definedName name="NNAgTPGestPAD_Budgetex_N1">0</definedName>
    <definedName name="NNAgTPGestPAG_Budgetex_N1">0</definedName>
    <definedName name="NNAgTPGestPCM_Budgetex_N1">0</definedName>
    <definedName name="NNAgTPGestPDE_Budgetex_N1">0</definedName>
    <definedName name="NNAgTPGestPED_Budgetex_N1">0</definedName>
    <definedName name="NNAgTPGestPEG_Budgetex_N1">0</definedName>
    <definedName name="NNAgTPGestPJJ_Budgetex_N1">0</definedName>
    <definedName name="NNAgTPGestPLP_Budgetex_N1">0</definedName>
    <definedName name="NNAgTPGestPME_Budgetex_N1">0</definedName>
    <definedName name="NNAgTPGestPSY_Budgetex_N1">0</definedName>
    <definedName name="NNAgTPGestPTE_Budgetex_N1">0</definedName>
    <definedName name="NNAgTPGestPUE_Budgetex_N1">0</definedName>
    <definedName name="NNAgTPGestPYC_Budgetex_N1">0</definedName>
    <definedName name="NNAgTPGestRES_Budgetex_N1">0</definedName>
    <definedName name="NNAgTPGestTFL_Budgetex_N1">0</definedName>
    <definedName name="NNAgTPGestTSE_Budgetex_N1">0</definedName>
    <definedName name="NNAgTPGestVDN_Budgetex_N1">0</definedName>
    <definedName name="NNETPGestAAB_Budgetex_N1">0</definedName>
    <definedName name="NNETPGestAAB_Budgetpr">0</definedName>
    <definedName name="NNETPGestAAB_Budgetre">0</definedName>
    <definedName name="NNETPGestACP_Budgetex_N1">0</definedName>
    <definedName name="NNETPGestACP_Budgetpr">0</definedName>
    <definedName name="NNETPGestACP_Budgetre">0</definedName>
    <definedName name="NNETPGestADA_Budgetex_N1">0</definedName>
    <definedName name="NNETPGestADA_Budgetpr">0</definedName>
    <definedName name="NNETPGestADA_Budgetre">0</definedName>
    <definedName name="NNETPGestAGG_Budgetex_N1">0</definedName>
    <definedName name="NNETPGestAGG_Budgetpr">0</definedName>
    <definedName name="NNETPGestAGG_Budgetre">0</definedName>
    <definedName name="NNETPGestAM2_Budgetex_N1">0</definedName>
    <definedName name="NNETPGestAM2_Budgetpr">0</definedName>
    <definedName name="NNETPGestAM2_Budgetre">0</definedName>
    <definedName name="NNETPGestANS_Budgetex_N1">0</definedName>
    <definedName name="NNETPGestANS_Budgetpr">0</definedName>
    <definedName name="NNETPGestANS_Budgetre">0</definedName>
    <definedName name="NNETPGestAPD_Budgetex_N1">0</definedName>
    <definedName name="NNETPGestAPD_Budgetpr">0</definedName>
    <definedName name="NNETPGestAPD_Budgetre">0</definedName>
    <definedName name="NNETPGestAPE_Budgetex_N1">0</definedName>
    <definedName name="NNETPGestAPE_Budgetpr">0</definedName>
    <definedName name="NNETPGestAPE_Budgetre">0</definedName>
    <definedName name="NNETPGestASE_Budgetex_N1">0</definedName>
    <definedName name="NNETPGestASE_Budgetpr">0</definedName>
    <definedName name="NNETPGestASE_Budgetre">0</definedName>
    <definedName name="NNETPGestASL_Budgetex_N1">0</definedName>
    <definedName name="NNETPGestASL_Budgetpr">0</definedName>
    <definedName name="NNETPGestASL_Budgetre">0</definedName>
    <definedName name="NNETPGestASM_Budgetex_N1">0</definedName>
    <definedName name="NNETPGestASM_Budgetpr">0</definedName>
    <definedName name="NNETPGestASM_Budgetre">0</definedName>
    <definedName name="NNETPGestASO_Budgetex_N1">0</definedName>
    <definedName name="NNETPGestASO_Budgetpr">0</definedName>
    <definedName name="NNETPGestASO_Budgetre">0</definedName>
    <definedName name="NNETPGestASP_Budgetex_N1">0</definedName>
    <definedName name="NNETPGestASP_Budgetpr">0</definedName>
    <definedName name="NNETPGestASP_Budgetre">0</definedName>
    <definedName name="NNETPGestASS_Budgetex_N1">0</definedName>
    <definedName name="NNETPGestASS_Budgetpr">0</definedName>
    <definedName name="NNETPGestASS_Budgetre">0</definedName>
    <definedName name="NNETPGestAUP_Budgetex_N1">0</definedName>
    <definedName name="NNETPGestAUP_Budgetpr">0</definedName>
    <definedName name="NNETPGestAUP_Budgetre">0</definedName>
    <definedName name="NNETPGestCAT_Budgetex_N1">0</definedName>
    <definedName name="NNETPGestCAT_Budgetpr">0</definedName>
    <definedName name="NNETPGestCAT_Budgetre">0</definedName>
    <definedName name="NNETPGestCDS_Budgetex_N1">0</definedName>
    <definedName name="NNETPGestCDS_Budgetpr">0</definedName>
    <definedName name="NNETPGestCDS_Budgetre">0</definedName>
    <definedName name="NNETPGestCEE_Budgetex_N1">0</definedName>
    <definedName name="NNETPGestCEE_Budgetpr">0</definedName>
    <definedName name="NNETPGestCEE_Budgetre">0</definedName>
    <definedName name="NNETPGestCES_Budgetex_N1">0</definedName>
    <definedName name="NNETPGestCES_Budgetpr">0</definedName>
    <definedName name="NNETPGestCES_Budgetre">0</definedName>
    <definedName name="NNETPGestCIE_Budgetex_N1">0</definedName>
    <definedName name="NNETPGestCIE_Budgetpr">0</definedName>
    <definedName name="NNETPGestCIE_Budgetre">0</definedName>
    <definedName name="NNETPGestCIP_Budgetex_N1">0</definedName>
    <definedName name="NNETPGestCIP_Budgetpr">0</definedName>
    <definedName name="NNETPGestCIP_Budgetre">0</definedName>
    <definedName name="NNETPGestCPR_Budgetex_N1">0</definedName>
    <definedName name="NNETPGestCPR_Budgetpr">0</definedName>
    <definedName name="NNETPGestCPR_Budgetre">0</definedName>
    <definedName name="NNETPGestCSE_Budgetex_N1">0</definedName>
    <definedName name="NNETPGestCSE_Budgetpr">0</definedName>
    <definedName name="NNETPGestCSE_Budgetre">0</definedName>
    <definedName name="NNETPGestDAJ_Budgetex_N1">0</definedName>
    <definedName name="NNETPGestDAJ_Budgetpr">0</definedName>
    <definedName name="NNETPGestDAJ_Budgetre">0</definedName>
    <definedName name="NNETPGestDCT_Budgetex_N1">0</definedName>
    <definedName name="NNETPGestDCT_Budgetpr">0</definedName>
    <definedName name="NNETPGestDCT_Budgetre">0</definedName>
    <definedName name="NNETPGestEAM_Budgetex_N1">0</definedName>
    <definedName name="NNETPGestEAM_Budgetpr">0</definedName>
    <definedName name="NNETPGestEAM_Budgetre">0</definedName>
    <definedName name="NNETPGestEDS_Budgetex_N1">0</definedName>
    <definedName name="NNETPGestEDS_Budgetpr">0</definedName>
    <definedName name="NNETPGestEDS_Budgetre">0</definedName>
    <definedName name="NNETPGestEDT_Budgetex_N1">0</definedName>
    <definedName name="NNETPGestEDT_Budgetpr">0</definedName>
    <definedName name="NNETPGestEDT_Budgetre">0</definedName>
    <definedName name="NNETPGestEEE_Budgetex_N1">0</definedName>
    <definedName name="NNETPGestEEE_Budgetpr">0</definedName>
    <definedName name="NNETPGestEEE_Budgetre">0</definedName>
    <definedName name="NNETPGestEES_Budgetex_N1">0</definedName>
    <definedName name="NNETPGestEES_Budgetpr">0</definedName>
    <definedName name="NNETPGestEES_Budgetre">0</definedName>
    <definedName name="NNETPGestEME_Budgetex_N1">0</definedName>
    <definedName name="NNETPGestEME_Budgetpr">0</definedName>
    <definedName name="NNETPGestEME_Budgetre">0</definedName>
    <definedName name="NNETPGestERG_Budgetex_N1">0</definedName>
    <definedName name="NNETPGestERG_Budgetpr">0</definedName>
    <definedName name="NNETPGestERG_Budgetre">0</definedName>
    <definedName name="NNETPGestESC_Budgetex_N1">0</definedName>
    <definedName name="NNETPGestESC_Budgetpr">0</definedName>
    <definedName name="NNETPGestESC_Budgetre">0</definedName>
    <definedName name="NNETPGestESE_Budgetex_N1">0</definedName>
    <definedName name="NNETPGestESE_Budgetpr">0</definedName>
    <definedName name="NNETPGestESE_Budgetre">0</definedName>
    <definedName name="NNETPGestETE_Budgetex_N1">0</definedName>
    <definedName name="NNETPGestETE_Budgetpr">0</definedName>
    <definedName name="NNETPGestETE_Budgetre">0</definedName>
    <definedName name="NNETPGestETS_Budgetex_N1">0</definedName>
    <definedName name="NNETPGestETS_Budgetpr">0</definedName>
    <definedName name="NNETPGestETS_Budgetre">0</definedName>
    <definedName name="NNETPGestFAM_Budgetex_N1">0</definedName>
    <definedName name="NNETPGestFAM_Budgetpr">0</definedName>
    <definedName name="NNETPGestFAM_Budgetre">0</definedName>
    <definedName name="NNETPGestFES_Budgetex_N1">0</definedName>
    <definedName name="NNETPGestFES_Budgetpr">0</definedName>
    <definedName name="NNETPGestFES_Budgetre">0</definedName>
    <definedName name="NNETPGestFME_Budgetex_N1">0</definedName>
    <definedName name="NNETPGestFME_Budgetpr">0</definedName>
    <definedName name="NNETPGestFME_Budgetre">0</definedName>
    <definedName name="NNETPGestIDE_Budgetex_N1">0</definedName>
    <definedName name="NNETPGestIDE_Budgetpr">0</definedName>
    <definedName name="NNETPGestIDE_Budgetre">0</definedName>
    <definedName name="NNETPGestIPY_Budgetex_N1">0</definedName>
    <definedName name="NNETPGestIPY_Budgetpr">0</definedName>
    <definedName name="NNETPGestIPY_Budgetre">0</definedName>
    <definedName name="NNETPGestITS_Budgetex_N1">0</definedName>
    <definedName name="NNETPGestITS_Budgetpr">0</definedName>
    <definedName name="NNETPGestITS_Budgetre">0</definedName>
    <definedName name="NNETPGestITT_Budgetex_N1">0</definedName>
    <definedName name="NNETPGestITT_Budgetpr">0</definedName>
    <definedName name="NNETPGestITT_Budgetre">0</definedName>
    <definedName name="NNETPGestMAU_Budgetex_N1">0</definedName>
    <definedName name="NNETPGestMAU_Budgetpr">0</definedName>
    <definedName name="NNETPGestMAU_Budgetre">0</definedName>
    <definedName name="NNETPGestMDM_Budgetex_N1">0</definedName>
    <definedName name="NNETPGestMDM_Budgetpr">0</definedName>
    <definedName name="NNETPGestMDM_Budgetre">0</definedName>
    <definedName name="NNETPGestMDR_Budgetex_N1">0</definedName>
    <definedName name="NNETPGestMDR_Budgetpr">0</definedName>
    <definedName name="NNETPGestMDR_Budgetre">0</definedName>
    <definedName name="NNETPGestMEM_Budgetex_N1">0</definedName>
    <definedName name="NNETPGestMEM_Budgetpr">0</definedName>
    <definedName name="NNETPGestMEM_Budgetre">0</definedName>
    <definedName name="NNETPGestMGE_Budgetex_N1">0</definedName>
    <definedName name="NNETPGestMGE_Budgetpr">0</definedName>
    <definedName name="NNETPGestMGE_Budgetre">0</definedName>
    <definedName name="NNETPGestMJE_Budgetex_N1">0</definedName>
    <definedName name="NNETPGestMJE_Budgetpr">0</definedName>
    <definedName name="NNETPGestMJE_Budgetre">0</definedName>
    <definedName name="NNETPGestMKI_Budgetex_N1">0</definedName>
    <definedName name="NNETPGestMKI_Budgetpr">0</definedName>
    <definedName name="NNETPGestMKI_Budgetre">0</definedName>
    <definedName name="NNETPGestMOA_Budgetex_N1">0</definedName>
    <definedName name="NNETPGestMOA_Budgetpr">0</definedName>
    <definedName name="NNETPGestMOA_Budgetre">0</definedName>
    <definedName name="NNETPGestMOE_Budgetex_N1">0</definedName>
    <definedName name="NNETPGestMOE_Budgetpr">0</definedName>
    <definedName name="NNETPGestMOE_Budgetre">0</definedName>
    <definedName name="NNETPGestMRF_Budgetex_N1">0</definedName>
    <definedName name="NNETPGestMRF_Budgetpr">0</definedName>
    <definedName name="NNETPGestMRF_Budgetre">0</definedName>
    <definedName name="NNETPGestORP_Budgetex_N1">0</definedName>
    <definedName name="NNETPGestORP_Budgetpr">0</definedName>
    <definedName name="NNETPGestORP_Budgetre">0</definedName>
    <definedName name="NNETPGestORT_Budgetex_N1">0</definedName>
    <definedName name="NNETPGestORT_Budgetpr">0</definedName>
    <definedName name="NNETPGestORT_Budgetre">0</definedName>
    <definedName name="NNETPGestOUP_Budgetex_N1">0</definedName>
    <definedName name="NNETPGestOUP_Budgetpr">0</definedName>
    <definedName name="NNETPGestOUP_Budgetre">0</definedName>
    <definedName name="NNETPGestPAD_Budgetex_N1">0</definedName>
    <definedName name="NNETPGestPAD_Budgetpr">0</definedName>
    <definedName name="NNETPGestPAD_Budgetre">0</definedName>
    <definedName name="NNETPGestPAG_Budgetex_N1">0</definedName>
    <definedName name="NNETPGestPAG_Budgetpr">0</definedName>
    <definedName name="NNETPGestPAG_Budgetre">0</definedName>
    <definedName name="NNETPGestPCM_Budgetex_N1">0</definedName>
    <definedName name="NNETPGestPCM_Budgetpr">0</definedName>
    <definedName name="NNETPGestPCM_Budgetre">0</definedName>
    <definedName name="NNETPGestPDE_Budgetex_N1">0</definedName>
    <definedName name="NNETPGestPDE_Budgetpr">0</definedName>
    <definedName name="NNETPGestPDE_Budgetre">0</definedName>
    <definedName name="NNETPGestPED_Budgetex_N1">0</definedName>
    <definedName name="NNETPGestPED_Budgetpr">0</definedName>
    <definedName name="NNETPGestPED_Budgetre">0</definedName>
    <definedName name="NNETPGestPEG_Budgetex_N1">0</definedName>
    <definedName name="NNETPGestPEG_Budgetpr">0</definedName>
    <definedName name="NNETPGestPEG_Budgetre">0</definedName>
    <definedName name="NNETPGestPJJ_Budgetex_N1">0</definedName>
    <definedName name="NNETPGestPJJ_Budgetpr">0</definedName>
    <definedName name="NNETPGestPJJ_Budgetre">0</definedName>
    <definedName name="NNETPGestPLP_Budgetex_N1">0</definedName>
    <definedName name="NNETPGestPLP_Budgetpr">0</definedName>
    <definedName name="NNETPGestPLP_Budgetre">0</definedName>
    <definedName name="NNETPGestPME_Budgetex_N1">0</definedName>
    <definedName name="NNETPGestPME_Budgetpr">0</definedName>
    <definedName name="NNETPGestPME_Budgetre">0</definedName>
    <definedName name="NNETPGestPSY_Budgetex_N1">0</definedName>
    <definedName name="NNETPGestPSY_Budgetpr">0</definedName>
    <definedName name="NNETPGestPSY_Budgetre">0</definedName>
    <definedName name="NNETPGestPTE_Budgetex_N1">0</definedName>
    <definedName name="NNETPGestPTE_Budgetpr">0</definedName>
    <definedName name="NNETPGestPTE_Budgetre">0</definedName>
    <definedName name="NNETPGestPUE_Budgetex_N1">0</definedName>
    <definedName name="NNETPGestPUE_Budgetpr">0</definedName>
    <definedName name="NNETPGestPUE_Budgetre">0</definedName>
    <definedName name="NNETPGestPYC_Budgetex_N1">0</definedName>
    <definedName name="NNETPGestPYC_Budgetpr">0</definedName>
    <definedName name="NNETPGestPYC_Budgetre">0</definedName>
    <definedName name="NNETPGestRES_Budgetex_N1">0</definedName>
    <definedName name="NNETPGestRES_Budgetpr">0</definedName>
    <definedName name="NNETPGestRES_Budgetre">0</definedName>
    <definedName name="NNETPGestTFL_Budgetex_N1">0</definedName>
    <definedName name="NNETPGestTFL_Budgetpr">0</definedName>
    <definedName name="NNETPGestTFL_Budgetre">0</definedName>
    <definedName name="NNETPGestTSE_Budgetex_N1">0</definedName>
    <definedName name="NNETPGestTSE_Budgetpr">0</definedName>
    <definedName name="NNETPGestTSE_Budgetre">0</definedName>
    <definedName name="NNETPGestVDN_Budgetex_N1">0</definedName>
    <definedName name="NNETPGestVDN_Budgetpr">0</definedName>
    <definedName name="NNETPGestVDN_Budgetre">0</definedName>
    <definedName name="NNETPTPGestAAB_Budgetex_N1">0</definedName>
    <definedName name="NNETPTPGestACP_Budgetex_N1">0</definedName>
    <definedName name="NNETPTPGestADA_Budgetex_N1">0</definedName>
    <definedName name="NNETPTPGestAGG_Budgetex_N1">0</definedName>
    <definedName name="NNETPTPGestAM2_Budgetex_N1">0</definedName>
    <definedName name="NNETPTPGestANS_Budgetex_N1">0</definedName>
    <definedName name="NNETPTPGestAPD_Budgetex_N1">0</definedName>
    <definedName name="NNETPTPGestAPE_Budgetex_N1">0</definedName>
    <definedName name="NNETPTPGestASE_Budgetex_N1">0</definedName>
    <definedName name="NNETPTPGestASL_Budgetex_N1">0</definedName>
    <definedName name="NNETPTPGestASM_Budgetex_N1">0</definedName>
    <definedName name="NNETPTPGestASO_Budgetex_N1">0</definedName>
    <definedName name="NNETPTPGestASP_Budgetex_N1">0</definedName>
    <definedName name="NNETPTPGestASS_Budgetex_N1">0</definedName>
    <definedName name="NNETPTPGestAUP_Budgetex_N1">0</definedName>
    <definedName name="NNETPTPGestCAT_Budgetex_N1">0</definedName>
    <definedName name="NNETPTPGestCDS_Budgetex_N1">0</definedName>
    <definedName name="NNETPTPGestCEE_Budgetex_N1">0</definedName>
    <definedName name="NNETPTPGestCES_Budgetex_N1">0</definedName>
    <definedName name="NNETPTPGestCIE_Budgetex_N1">0</definedName>
    <definedName name="NNETPTPGestCIP_Budgetex_N1">0</definedName>
    <definedName name="NNETPTPGestCPR_Budgetex_N1">0</definedName>
    <definedName name="NNETPTPGestCSE_Budgetex_N1">0</definedName>
    <definedName name="NNETPTPGestDAJ_Budgetex_N1">0</definedName>
    <definedName name="NNETPTPGestDCT_Budgetex_N1">0</definedName>
    <definedName name="NNETPTPGestEAM_Budgetex_N1">0</definedName>
    <definedName name="NNETPTPGestEDS_Budgetex_N1">0</definedName>
    <definedName name="NNETPTPGestEDT_Budgetex_N1">0</definedName>
    <definedName name="NNETPTPGestEEE_Budgetex_N1">0</definedName>
    <definedName name="NNETPTPGestEES_Budgetex_N1">0</definedName>
    <definedName name="NNETPTPGestEME_Budgetex_N1">0</definedName>
    <definedName name="NNETPTPGestERG_Budgetex_N1">0</definedName>
    <definedName name="NNETPTPGestESC_Budgetex_N1">0</definedName>
    <definedName name="NNETPTPGestESE_Budgetex_N1">0</definedName>
    <definedName name="NNETPTPGestETE_Budgetex_N1">0</definedName>
    <definedName name="NNETPTPGestETS_Budgetex_N1">0</definedName>
    <definedName name="NNETPTPGestFAM_Budgetex_N1">0</definedName>
    <definedName name="NNETPTPGestFES_Budgetex_N1">0</definedName>
    <definedName name="NNETPTPGestFME_Budgetex_N1">0</definedName>
    <definedName name="NNETPTPGestIDE_Budgetex_N1">0</definedName>
    <definedName name="NNETPTPGestIPY_Budgetex_N1">0</definedName>
    <definedName name="NNETPTPGestITS_Budgetex_N1">0</definedName>
    <definedName name="NNETPTPGestITT_Budgetex_N1">0</definedName>
    <definedName name="NNETPTPGestMAU_Budgetex_N1">0</definedName>
    <definedName name="NNETPTPGestMDM_Budgetex_N1">0</definedName>
    <definedName name="NNETPTPGestMDR_Budgetex_N1">0</definedName>
    <definedName name="NNETPTPGestMEM_Budgetex_N1">0</definedName>
    <definedName name="NNETPTPGestMGE_Budgetex_N1">0</definedName>
    <definedName name="NNETPTPGestMJE_Budgetex_N1">0</definedName>
    <definedName name="NNETPTPGestMKI_Budgetex_N1">0</definedName>
    <definedName name="NNETPTPGestMOA_Budgetex_N1">0</definedName>
    <definedName name="NNETPTPGestMOE_Budgetex_N1">0</definedName>
    <definedName name="NNETPTPGestMRF_Budgetex_N1">0</definedName>
    <definedName name="NNETPTPGestORP_Budgetex_N1">0</definedName>
    <definedName name="NNETPTPGestORT_Budgetex_N1">0</definedName>
    <definedName name="NNETPTPGestOUP_Budgetex_N1">0</definedName>
    <definedName name="NNETPTPGestPAD_Budgetex_N1">0</definedName>
    <definedName name="NNETPTPGestPAG_Budgetex_N1">0</definedName>
    <definedName name="NNETPTPGestPCM_Budgetex_N1">0</definedName>
    <definedName name="NNETPTPGestPDE_Budgetex_N1">0</definedName>
    <definedName name="NNETPTPGestPED_Budgetex_N1">0</definedName>
    <definedName name="NNETPTPGestPEG_Budgetex_N1">0</definedName>
    <definedName name="NNETPTPGestPJJ_Budgetex_N1">0</definedName>
    <definedName name="NNETPTPGestPLP_Budgetex_N1">0</definedName>
    <definedName name="NNETPTPGestPME_Budgetex_N1">0</definedName>
    <definedName name="NNETPTPGestPSY_Budgetex_N1">0</definedName>
    <definedName name="NNETPTPGestPTE_Budgetex_N1">0</definedName>
    <definedName name="NNETPTPGestPUE_Budgetex_N1">0</definedName>
    <definedName name="NNETPTPGestPYC_Budgetex_N1">0</definedName>
    <definedName name="NNETPTPGestRES_Budgetex_N1">0</definedName>
    <definedName name="NNETPTPGestTFL_Budgetex_N1">0</definedName>
    <definedName name="NNETPTPGestTSE_Budgetex_N1">0</definedName>
    <definedName name="NNETPTPGestVDN_Budgetex_N1">0</definedName>
    <definedName name="NRTAUTDROITBPPN0">0</definedName>
    <definedName name="NRTAUTDROITBPRN0">0</definedName>
    <definedName name="NRTCONGPAYBPPN0">0</definedName>
    <definedName name="NRTCONGPAYBPRN0">0</definedName>
    <definedName name="NRTDOT1161BPPN0">0</definedName>
    <definedName name="NRTDOT1161BPRN0">0</definedName>
    <definedName name="NRTREPRISEAFFBPPN0">0</definedName>
    <definedName name="NRTREPRISEAFFBPRN0">0</definedName>
    <definedName name="org_OGRaisonSociale">" "</definedName>
    <definedName name="PresentationCNSA">"NON"</definedName>
    <definedName name="REPORTRESE_BE1">0</definedName>
    <definedName name="REPORTRESE_BP0">0</definedName>
    <definedName name="REPORTRESE_CA2">0</definedName>
    <definedName name="REPORTRESR_BE1">0</definedName>
    <definedName name="REPORTRESR_BP0">0</definedName>
    <definedName name="REPORTRESR_CA2">0</definedName>
    <definedName name="RESREPRISBEXN0">0</definedName>
    <definedName name="RESREPRISBEXN1">0</definedName>
    <definedName name="RESREPRISBPPN0">0</definedName>
    <definedName name="RESREPRISBRN0">0</definedName>
    <definedName name="RESREPRISCARN2">0</definedName>
    <definedName name="RESREPRISMSNN0">0</definedName>
    <definedName name="RTDOT1161BEXN0">0</definedName>
    <definedName name="RTDOT1161BEXN1">0</definedName>
    <definedName name="RTDOT1161BPPN0">0</definedName>
    <definedName name="RTDOT1161BRN0">0</definedName>
    <definedName name="RTDOT1161CARN2">0</definedName>
    <definedName name="RTDOT1161MSNN0">0</definedName>
    <definedName name="Sect_NomSection">" "</definedName>
    <definedName name="SemiInt">0</definedName>
    <definedName name="SemiIntCARN2">0</definedName>
    <definedName name="SEMIINTCATBPN">0</definedName>
    <definedName name="SemiIntDgN">0</definedName>
    <definedName name="SEMIINTFOYBPN">0</definedName>
    <definedName name="SEMIINTMASBPN">0</definedName>
    <definedName name="TotNbJoursBPRN">0</definedName>
    <definedName name="TotNbJoursBPRN1">0</definedName>
    <definedName name="TotNbJoursCARN2">0</definedName>
    <definedName name="TotNbJoursCARN3">0</definedName>
    <definedName name="TotNbJoursCARN4">0</definedName>
    <definedName name="TotNbJoursDgBPN">0</definedName>
    <definedName name="TotNbJoursDgBPRN">0</definedName>
    <definedName name="TotNbJoursN">0</definedName>
    <definedName name="TotNbJoursOuvN">0</definedName>
    <definedName name="TotNbPlacesCARN2">0</definedName>
    <definedName name="TotNbPlacesDgN">0</definedName>
    <definedName name="TotNbPlacesN">0</definedName>
    <definedName name="TxOccAAutre1BPRN">0</definedName>
    <definedName name="TxOccAAutre2BPRN">0</definedName>
    <definedName name="TxOccAAutre3BPRN">0</definedName>
    <definedName name="TxOccAAutre4BPRN">0</definedName>
    <definedName name="TxOccAAutre5BPRN">0</definedName>
    <definedName name="TxOccAAutre6BPRN">0</definedName>
    <definedName name="TxOccAAutre7BPRN">0</definedName>
    <definedName name="TxOccAAutre8BPRN">0</definedName>
    <definedName name="TxOccAAutre9BPRN">0</definedName>
    <definedName name="TxOccExternatBPRN">0</definedName>
    <definedName name="TxOccInternatBPRN">0</definedName>
    <definedName name="TxOccSemiIntBPRN">0</definedName>
    <definedName name="TypeBudgetaireCourant">" "</definedName>
    <definedName name="Version_majeure">'TELEBUDGET Enfance adultes'!$B$45</definedName>
    <definedName name="Version_mineure">'TELEBUDGET Enfance adultes'!$E$45</definedName>
    <definedName name="Z_B40D7601_A30C_42BC_896C_935DF52511B0_.wvu.Cols" localSheetId="3" hidden="1">'IME creton'!$J:$K</definedName>
    <definedName name="Z_B40D7601_A30C_42BC_896C_935DF52511B0_.wvu.PrintArea" localSheetId="4" hidden="1">'Charges d''exploitation'!$A$1:$J$132</definedName>
    <definedName name="Z_B40D7601_A30C_42BC_896C_935DF52511B0_.wvu.PrintArea" localSheetId="5" hidden="1">'produits'!$A$1:$J$90</definedName>
    <definedName name="_xlnm.Print_Area" localSheetId="4">'Charges d''exploitation'!$A$1:$J$132</definedName>
    <definedName name="_xlnm.Print_Area" localSheetId="5">'produits'!$A$1:$J$90</definedName>
    <definedName name="_xlnm.Print_Area" localSheetId="0">'TELEBUDGET Enfance adultes'!$A$1:$Q$45</definedName>
  </definedNames>
  <calcPr fullCalcOnLoad="1"/>
</workbook>
</file>

<file path=xl/comments2.xml><?xml version="1.0" encoding="utf-8"?>
<comments xmlns="http://schemas.openxmlformats.org/spreadsheetml/2006/main">
  <authors>
    <author>hb</author>
  </authors>
  <commentList>
    <comment ref="C26" authorId="0">
      <text>
        <r>
          <rPr>
            <sz val="10"/>
            <rFont val="Tahoma"/>
            <family val="2"/>
          </rPr>
          <t>Saisir uniquement un nombre</t>
        </r>
      </text>
    </comment>
  </commentList>
</comments>
</file>

<file path=xl/sharedStrings.xml><?xml version="1.0" encoding="utf-8"?>
<sst xmlns="http://schemas.openxmlformats.org/spreadsheetml/2006/main" count="496" uniqueCount="386">
  <si>
    <t>TOTAL AGREGAT APPROUVE en N - 1  (classe 6-groupes II et III de produits)</t>
  </si>
  <si>
    <t>C.C.N.T. :</t>
  </si>
  <si>
    <t>NOM DU DIRECTEUR ou de la personne habilitée à représenter l'établissement:</t>
  </si>
  <si>
    <t>(1) Atelier protégé</t>
  </si>
  <si>
    <t>(2) Centre de distribution de travail à domicile</t>
  </si>
  <si>
    <t>Dettes rattachées à des participations</t>
  </si>
  <si>
    <t>Résultat cumulé antérieur à reporter (déficit)</t>
  </si>
  <si>
    <t>001</t>
  </si>
  <si>
    <t>Résultat cumulé antérieur (excédent)</t>
  </si>
  <si>
    <t>E</t>
  </si>
  <si>
    <t>D</t>
  </si>
  <si>
    <t>Nombre de journées</t>
  </si>
  <si>
    <t>Déficit prévisionnel d'investissement</t>
  </si>
  <si>
    <t>Compte de liaison</t>
  </si>
  <si>
    <r>
      <t>PRODUITS EN ATTENUATION</t>
    </r>
    <r>
      <rPr>
        <sz val="10"/>
        <rFont val="Times New Roman"/>
        <family val="1"/>
      </rPr>
      <t xml:space="preserve"> 
TOTAL GROUPES II + III </t>
    </r>
  </si>
  <si>
    <t>Excédent prévisionnel d'investissement</t>
  </si>
  <si>
    <t>Résultat d'investissement de l'exercice (Excédent)</t>
  </si>
  <si>
    <t>Résultat d'investissement de l'exercice (Déficit)</t>
  </si>
  <si>
    <t>Immobilisations affectées, concédées ou mises à disposition</t>
  </si>
  <si>
    <t>Version majeure</t>
  </si>
  <si>
    <t>Version mineure</t>
  </si>
  <si>
    <t>68 : DOTATIONS AUX AMORTISSEMENTS, AUX DEPRECIATIONS, AUX PROVISIONS ET AUX ENGAGEMENTS</t>
  </si>
  <si>
    <t>Dotations dépréciations des immobilisations incorporelles et corporelles</t>
  </si>
  <si>
    <t>Dotations aux amortissements et aux provisions : charges exceptionnelles</t>
  </si>
  <si>
    <t>Dotations aux amortissements et provisions : charges financières</t>
  </si>
  <si>
    <t>Produits sauf 7082</t>
  </si>
  <si>
    <t>Participations forfaitaires des usagers</t>
  </si>
  <si>
    <t>Transfert de charges d’exploitation.</t>
  </si>
  <si>
    <t>Reprises sur le compte 11 511 (excédent affecté au financement des mesures d’exploitation non reconductibles) et le compte 10687 (excédent affecté en réserve de compensation des charges d’amortissement).</t>
  </si>
  <si>
    <t>Dotation (débits) de l’exercice aux amortissements comptables excédentaires différés (compte 116-1).</t>
  </si>
  <si>
    <t>Solde débiteur du compte 116-2 : Dépenses pour congés payés ou solde créditeur du compte 4282 : Dettes provisionnées pour congés à payer.</t>
  </si>
  <si>
    <t>F</t>
  </si>
  <si>
    <t>G</t>
  </si>
  <si>
    <t>A : (B + C + D + E + F) = Dépenses nettes autorisées.</t>
  </si>
  <si>
    <t>H</t>
  </si>
  <si>
    <t>Total à prendre en compte pour le calcul des tarifs = G + ou : H</t>
  </si>
  <si>
    <t>- Intégration scolaire</t>
  </si>
  <si>
    <t xml:space="preserve">ANNEXE 1: CADRE NORMALISE DE PRESENTATION DU BUDGET PREVISIONNEL D'UN ETABLISSEMENT ET SERVICE SOCIAL </t>
  </si>
  <si>
    <t xml:space="preserve"> ET MEDICO-SOCIAL RELEVANT DU I DE L'ARTICLE L.312-1 DU CODE DE L'ACTION SOCIALE ET DES FAMILLES</t>
  </si>
  <si>
    <t>ETABLISSEMENT :</t>
  </si>
  <si>
    <t>ADRESSE :</t>
  </si>
  <si>
    <t>ORGANSIME GESTIONNAIRE :</t>
  </si>
  <si>
    <t>TELEPHONE :</t>
  </si>
  <si>
    <t>FAX:</t>
  </si>
  <si>
    <t>Email</t>
  </si>
  <si>
    <t>N° FINESS :</t>
  </si>
  <si>
    <t>CATEGORIE :</t>
  </si>
  <si>
    <t>COMPETENCE :</t>
  </si>
  <si>
    <t>DATE D’ARRIVEE DES DOCUMENTS :</t>
  </si>
  <si>
    <t>CAPACITE AUTORISEE :</t>
  </si>
  <si>
    <t xml:space="preserve">CADRE NORMALISE DE PRESENTATION DU BUDGET PREVISIONNEL D'UN ETABLISSEMENT ET SERVICE SOCIAL </t>
  </si>
  <si>
    <t>Activité théorique</t>
  </si>
  <si>
    <t>(1)</t>
  </si>
  <si>
    <t>(2)</t>
  </si>
  <si>
    <t>(3)</t>
  </si>
  <si>
    <t xml:space="preserve">(4) </t>
  </si>
  <si>
    <t>5 = (2) x (3)</t>
  </si>
  <si>
    <t>(6)</t>
  </si>
  <si>
    <t>(7)</t>
  </si>
  <si>
    <t>(8)</t>
  </si>
  <si>
    <t>TOTAL</t>
  </si>
  <si>
    <t>Externat</t>
  </si>
  <si>
    <t>Semi-internat</t>
  </si>
  <si>
    <t>Internat</t>
  </si>
  <si>
    <t>Activité prévisionnelle</t>
  </si>
  <si>
    <t>(9)</t>
  </si>
  <si>
    <t>(10)</t>
  </si>
  <si>
    <t>(12)</t>
  </si>
  <si>
    <t>(13)</t>
  </si>
  <si>
    <t>(14)</t>
  </si>
  <si>
    <t>(15)</t>
  </si>
  <si>
    <t>(16)</t>
  </si>
  <si>
    <t>(17)</t>
  </si>
  <si>
    <t>(18)</t>
  </si>
  <si>
    <t>TOTAL en journées</t>
  </si>
  <si>
    <t xml:space="preserve"> Activité de l'Etablissement ou du Service</t>
  </si>
  <si>
    <t>Nombre de journées prévisionnelles</t>
  </si>
  <si>
    <t>(de 1 à 3)</t>
  </si>
  <si>
    <t>Autres</t>
  </si>
  <si>
    <r>
      <t xml:space="preserve">     </t>
    </r>
    <r>
      <rPr>
        <b/>
        <sz val="12"/>
        <rFont val="Times New Roman"/>
        <family val="1"/>
      </rPr>
      <t>Accueil des plus de 20 ans dans les IME</t>
    </r>
  </si>
  <si>
    <t>ACHATS</t>
  </si>
  <si>
    <t>(4)</t>
  </si>
  <si>
    <t>(5) = (3) + (4)</t>
  </si>
  <si>
    <t>Achats stockés de matières premières et de fournitures</t>
  </si>
  <si>
    <t>Achats stockés - autres approvisionnements</t>
  </si>
  <si>
    <t xml:space="preserve">Variation des stocks </t>
  </si>
  <si>
    <t xml:space="preserve">Achats non stockés de matières et fournitures </t>
  </si>
  <si>
    <t>Achats de marchandise</t>
  </si>
  <si>
    <t xml:space="preserve"> </t>
  </si>
  <si>
    <t>Rabais, remises, ristournes accordés par l'établissement</t>
  </si>
  <si>
    <t>Variations des stocks, en cours de production, produits (en dépenses)</t>
  </si>
  <si>
    <t>SERVICES EXTERIEURS</t>
  </si>
  <si>
    <t>Sous-traitance: prestations à caractère médical</t>
  </si>
  <si>
    <t>Sous-traitance: prestations à caractère médico-social</t>
  </si>
  <si>
    <t xml:space="preserve">AUTRES SERVICES EXTERIEURS </t>
  </si>
  <si>
    <t>Transports de biens</t>
  </si>
  <si>
    <t>6242</t>
  </si>
  <si>
    <t>Transports d'usagers</t>
  </si>
  <si>
    <t>Transports collectifs du personnel</t>
  </si>
  <si>
    <t>Transports divers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</si>
  <si>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</si>
  <si>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</si>
  <si>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</si>
  <si>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</si>
  <si>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</si>
  <si>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</si>
  <si>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r>
      <t xml:space="preserve">Quote-parts de résultat sur opérations faites en commun </t>
    </r>
    <r>
      <rPr>
        <i/>
        <u val="single"/>
        <sz val="14"/>
        <rFont val="Times New Roman"/>
        <family val="1"/>
      </rPr>
      <t>(éts privés)</t>
    </r>
  </si>
  <si>
    <r>
      <t>Provisionnements (débits) de l’exercice au compte 116-3 : Autres droits acquis par les salariés non provisionnés en application du 3°</t>
    </r>
    <r>
      <rPr>
        <sz val="4.5"/>
        <color indexed="63"/>
        <rFont val="Univers"/>
        <family val="2"/>
      </rPr>
      <t xml:space="preserve"> </t>
    </r>
    <r>
      <rPr>
        <sz val="8"/>
        <color indexed="63"/>
        <rFont val="Univers"/>
        <family val="2"/>
      </rPr>
      <t>de l’article R. 314-45 du code de l’action sociale et des familles et au compte 116-8.</t>
    </r>
  </si>
  <si>
    <t>Remboursement de frais</t>
  </si>
  <si>
    <t>Autres prestations</t>
  </si>
  <si>
    <t>TOTAL GROUPE I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</si>
  <si>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</si>
  <si>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</si>
  <si>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</si>
  <si>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</si>
  <si>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Rémunération du personnel non médical</t>
  </si>
  <si>
    <t>Rémunération du personnel médical</t>
  </si>
  <si>
    <t>Charges de sécurité sociale et de prévoyance</t>
  </si>
  <si>
    <t>Personnes handicapées</t>
  </si>
  <si>
    <t>Autres charges sociales</t>
  </si>
  <si>
    <t>Autres charges de personnel</t>
  </si>
  <si>
    <t>TOTAL GROUPE II</t>
  </si>
  <si>
    <t>Redevances de crédit bail</t>
  </si>
  <si>
    <t>Locations immobilières</t>
  </si>
  <si>
    <t>Locations mobilières</t>
  </si>
  <si>
    <t>Charges locatives et de co-propriété</t>
  </si>
  <si>
    <t>Entretien et réparations sur biens immobiliers</t>
  </si>
  <si>
    <t>Entretien et réparations sur biens mobiliers</t>
  </si>
  <si>
    <t>Maintenance</t>
  </si>
  <si>
    <t>Primes d'assurances</t>
  </si>
  <si>
    <t>Etudes et recherches</t>
  </si>
  <si>
    <t>Divers</t>
  </si>
  <si>
    <t>Information, publications, relations publiques</t>
  </si>
  <si>
    <t>Services bancaires et assimilés</t>
  </si>
  <si>
    <t xml:space="preserve">Autres impôts taxes et versements assimilés  (administration des impôts) </t>
  </si>
  <si>
    <t xml:space="preserve">Autres impôts taxes et versements assimilés  (autres organismes) </t>
  </si>
  <si>
    <t>AUTRES CHARGES DE GESTION COURANTE</t>
  </si>
  <si>
    <t>Redevances pour concessions, brevets, licences, procédés, droits et valeurs similaires</t>
  </si>
  <si>
    <t>Pertes sur créances irrécouvrables</t>
  </si>
  <si>
    <t>Subventions</t>
  </si>
  <si>
    <t>Charges diverses de gestion courante</t>
  </si>
  <si>
    <t>CHARGES FINANCIERES</t>
  </si>
  <si>
    <t>Charges financières</t>
  </si>
  <si>
    <t>CHARGES EXCEPTIONNELLES</t>
  </si>
  <si>
    <t>Charges exceptionnelles sur opérations de gestion</t>
  </si>
  <si>
    <t xml:space="preserve">Charges sur exercices antérieurs </t>
  </si>
  <si>
    <t>Valeurs comptables des éléments d'actif cédés</t>
  </si>
  <si>
    <t>Autres charges exceptionnelles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</si>
  <si>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</si>
  <si>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</si>
  <si>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</si>
  <si>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actifs circulants</t>
  </si>
  <si>
    <t>TOTAL GROUPE III</t>
  </si>
  <si>
    <t>TOTAL GENERAL (GROUPE I + GROUPE II 
+ GROUPE III)</t>
  </si>
  <si>
    <t>RAN n-2</t>
  </si>
  <si>
    <t>RAN n-1</t>
  </si>
  <si>
    <t>002</t>
  </si>
  <si>
    <t>Déficit de la section d'exploitation reporté</t>
  </si>
  <si>
    <t>TOTAL DEPENSES D'EXPLOITATION</t>
  </si>
  <si>
    <t xml:space="preserve"> ET MEDICO-SOCIAL RELEVANT DU I  DE L'ARTICLE L.312-1 DU CODE DE L'ACTION SOCIALE ET DES FAMILLES</t>
  </si>
  <si>
    <t>Production stockée</t>
  </si>
  <si>
    <t>Production immobilisée</t>
  </si>
  <si>
    <t>Subventions d'exploitation et participations</t>
  </si>
  <si>
    <t>Autres produits de gestion courante</t>
  </si>
  <si>
    <t>Variation des stocks (en recettes)</t>
  </si>
  <si>
    <t xml:space="preserve">Rabais, remises et ristournes obtenus sur achats </t>
  </si>
  <si>
    <t>Rabais, remises et ristournes obtenus sur services extérieurs</t>
  </si>
  <si>
    <t>Rabais, remises et ristournes obtenus sur  autres services extérieurs</t>
  </si>
  <si>
    <t>Remboursements sur rémunérations du personnel non médical</t>
  </si>
  <si>
    <t>Remboursements sur rémunérations du personnel  médical</t>
  </si>
  <si>
    <t>Fonds de compensation des cessations anticipées d'activité</t>
  </si>
  <si>
    <t>Intérêts des emprunts et dettes (en recettes)</t>
  </si>
  <si>
    <t xml:space="preserve">ET PRODUITS NON ENCAISSABLES </t>
  </si>
  <si>
    <t>Produits financiers</t>
  </si>
  <si>
    <t xml:space="preserve">PRODUITS EXCEPTIONNELS </t>
  </si>
  <si>
    <t>Produits exceptionnels sur opérations de gestion</t>
  </si>
  <si>
    <t xml:space="preserve">Produits sur exercices antérieurs </t>
  </si>
  <si>
    <t>Produits de cessions d'éléments d'actif</t>
  </si>
  <si>
    <t>Quote-part des subventions d'investissement virée au résultat de l'exercice</t>
  </si>
  <si>
    <t>Autres produits exceptionnels</t>
  </si>
  <si>
    <t>AUTRES PRODUITS</t>
  </si>
  <si>
    <t>Excédent de la section d'exploitation reporté</t>
  </si>
  <si>
    <t>TOTAL RECETTES D'EXPLOITATION</t>
  </si>
  <si>
    <t>Réduction des fonds propres ou reprise sur apports</t>
  </si>
  <si>
    <t>Fonds associatifs, apports, dotations et réserves</t>
  </si>
  <si>
    <t>Reprises</t>
  </si>
  <si>
    <t>Provisions réglementées (sauf réserve de trésorerie compte 141)</t>
  </si>
  <si>
    <t>Provisions pour risques et charges</t>
  </si>
  <si>
    <t>Remboursement des dettes financières</t>
  </si>
  <si>
    <t>Emprunts et dettes assimilées</t>
  </si>
  <si>
    <t>Compte de liaison investissement</t>
  </si>
  <si>
    <t>Acquisition d'éléments de l'actif immobilisé</t>
  </si>
  <si>
    <t>Immobilisations incorporelles</t>
  </si>
  <si>
    <t>Immobilisations corporelles</t>
  </si>
  <si>
    <t>Immobilisations reçues en affectation</t>
  </si>
  <si>
    <t>Immobilisations en cours</t>
  </si>
  <si>
    <t>Participations et créances rattachées à des participations</t>
  </si>
  <si>
    <t>Autres immobilisations financières</t>
  </si>
  <si>
    <t>Amortissements des immobilisations (reprises)</t>
  </si>
  <si>
    <t>Provisions pour dépréciation des immobilisations (reprises)</t>
  </si>
  <si>
    <t>Provisions pour dépréciation de stocks et en-cours</t>
  </si>
  <si>
    <t>Charges à répartir sur plusieurs exercices (augmentation)</t>
  </si>
  <si>
    <t>Provisions pour dépréciation des comptes de tiers (reprises)</t>
  </si>
  <si>
    <t>Provisions pour dépréciation des comptes financiers (reprises)</t>
  </si>
  <si>
    <t>TOTAL GENERAL</t>
  </si>
  <si>
    <t>Augmentation des fonds propres</t>
  </si>
  <si>
    <t>Dotations aux provisions</t>
  </si>
  <si>
    <t>Augmentation des dettes financières</t>
  </si>
  <si>
    <t>Immobilisations (sorties)</t>
  </si>
  <si>
    <t>Amortissements des immobilisations (dotations)</t>
  </si>
  <si>
    <t>Provisions pour dépréciation des immobilisations (dotations)</t>
  </si>
  <si>
    <t>Charges à répartir sur plusieurs exercices (diminution)</t>
  </si>
  <si>
    <t>Provisions pour dépréciation des comptes de tiers (dotations)</t>
  </si>
  <si>
    <t>Provisions pour dépréciation des comptes financiers (dotations)</t>
  </si>
  <si>
    <t xml:space="preserve">  ANNEXE 1-3 . 3 : Calcul des tarifs ou de la dotation globale de financement </t>
  </si>
  <si>
    <t>A</t>
  </si>
  <si>
    <t>TOTAL CHARGES GROUPES I + II + III</t>
  </si>
  <si>
    <t>B</t>
  </si>
  <si>
    <t>C</t>
  </si>
  <si>
    <t>(+/-) Reprises de résultat</t>
  </si>
  <si>
    <t>Dotation globale de financement</t>
  </si>
  <si>
    <t>- Externat</t>
  </si>
  <si>
    <t>- Semi-internat</t>
  </si>
  <si>
    <t>- Internat</t>
  </si>
  <si>
    <t>Prix de journée moyen de l'année</t>
  </si>
  <si>
    <t>Nombre de forfaits ou de séances</t>
  </si>
  <si>
    <t>Prix moyen sur l'année du forfait ou de la séance</t>
  </si>
  <si>
    <t>Commentaires</t>
  </si>
  <si>
    <t xml:space="preserve">CADRE NORMALISE DE PRESENTATION DU BUDGET PREVISIONNEL DUN ETABLISSEMENT ET SERVICE SOCIAL </t>
  </si>
  <si>
    <t xml:space="preserve"> ET MEDICO-SOCIAL RELEVANT DU I DE LARTICLE L.312-1 DU CODE DE LACTION SOCIALE ET DES FAMILLES</t>
  </si>
  <si>
    <t>(5)=(3)+(4)</t>
  </si>
  <si>
    <t>Sous-traitance: autres prestations de service</t>
  </si>
  <si>
    <t>Rémunération du personnel handicapé</t>
  </si>
  <si>
    <t xml:space="preserve">      dont dotations aux amortissements exceptionnels des immobilisations</t>
  </si>
  <si>
    <t xml:space="preserve">      dont dotations aux amortissements dérogatoires</t>
  </si>
  <si>
    <t xml:space="preserve">      dont dotations aux provisions réglementées destinées à renforcer la couverture du besoin en fonds de roulement</t>
  </si>
  <si>
    <t xml:space="preserve">      dont dotations aux provisions réglementées pour renouvellement des immobilisations</t>
  </si>
  <si>
    <t xml:space="preserve">      dont dotations aux provisions réglementées : réserves des plus-values nettes d’actif immobilisé (établissements privés)</t>
  </si>
  <si>
    <t xml:space="preserve">      dont dotations aux provisions réglementées : réserves des plus-values nettes d’actif circulant (établissements privés)</t>
  </si>
  <si>
    <t xml:space="preserve">      dont autres</t>
  </si>
  <si>
    <t xml:space="preserve">      dont dotations aux dépréciations exceptionnelles</t>
  </si>
  <si>
    <t>Engagements à réaliser sur ressources affectées (établissements privés)</t>
  </si>
  <si>
    <t xml:space="preserve">      dont engagements à réaliser sur subventions attribuées (établissements privés)</t>
  </si>
  <si>
    <t xml:space="preserve">      dont engagements à réaliser sur dons manuels affectés (établissements privés)</t>
  </si>
  <si>
    <t xml:space="preserve">      dont engagements à réaliser sur legs et donations affectées (établissements privés)</t>
  </si>
  <si>
    <t>005</t>
  </si>
  <si>
    <t>Amortissements comptables excédentaires différés</t>
  </si>
  <si>
    <t>Report à nouveau n</t>
  </si>
  <si>
    <t>Produits à la charge de l'assurance maladie (hors EHPAD)</t>
  </si>
  <si>
    <t>Produits à la charge de l'Etat</t>
  </si>
  <si>
    <t>Produits à la charge du département (hors EHPAD)</t>
  </si>
  <si>
    <t>Produits à la charge de l'usager (hors EHPAD)</t>
  </si>
  <si>
    <t>Produits des EHPAD - Secteur des personnes âgées</t>
  </si>
  <si>
    <t xml:space="preserve">        dont produits à la charge de l'assurance maladie</t>
  </si>
  <si>
    <t xml:space="preserve">        dont produits à la charge du département</t>
  </si>
  <si>
    <t xml:space="preserve">        dont produits à la charge de l'usager</t>
  </si>
  <si>
    <t>Produits à la charge d'autres financeurs</t>
  </si>
  <si>
    <t>Remboursements sur rémunérations des personnes handicapées</t>
  </si>
  <si>
    <t>6459/69/79</t>
  </si>
  <si>
    <t>Remboursements sur charges de sécurité sociale et de prévoyance et sur autres charges sociales</t>
  </si>
  <si>
    <t xml:space="preserve">      dont forfaits journaliers</t>
  </si>
  <si>
    <t xml:space="preserve">      dont participations des personnes handicapées prévues au quatrième alinéa de l’article L. 242-4 du code de l’action sociale et des familles</t>
  </si>
  <si>
    <t xml:space="preserve">      dont participations aux frais de repas et de transport dans les établissements et services d’aide par le travail</t>
  </si>
  <si>
    <t xml:space="preserve">      dont autres participations forfaitaires des usagers</t>
  </si>
  <si>
    <t>Reprises sur amortissements, dépréciations et provisions (à inscrire dans les produits d'exploitation)</t>
  </si>
  <si>
    <t>Reprises sur dépréciations et provisions (à inscrire dans les produits financiers)</t>
  </si>
  <si>
    <t>Reprises sur dépréciations et provisions (à inscrire dans les produits exceptionnels)</t>
  </si>
  <si>
    <t xml:space="preserve">        dont reprise sur amortissements dérogatoires</t>
  </si>
  <si>
    <t xml:space="preserve">      dont reprises sur provisions réglementées destinées à renforcer la couverture du besoin en fonds de roulement</t>
  </si>
  <si>
    <t xml:space="preserve">      dont reprises sur provisions réglementées pour renouvellement des immobilisations</t>
  </si>
  <si>
    <t xml:space="preserve">      dont reprises sur provisions réglementées : réserves des plus-values nettes d'actif immobilisé (établissement privés)</t>
  </si>
  <si>
    <t xml:space="preserve">      dont reprises sur provisions réglementées : réserves des plus-values nettes d'actif circulant (établissement privés)</t>
  </si>
  <si>
    <t xml:space="preserve">      dont autres reprises (sur provisions réglementées)</t>
  </si>
  <si>
    <t>Reprises sur dépréciations exceptionnelles</t>
  </si>
  <si>
    <t>Report des ressources non utilisées des exercices antérieurs (établissements privés)</t>
  </si>
  <si>
    <t xml:space="preserve">      dont transfert de charges d'exploitation</t>
  </si>
  <si>
    <t xml:space="preserve">      dont transfert de charges financières</t>
  </si>
  <si>
    <t xml:space="preserve">      dont transfert de charges exceptionnelles</t>
  </si>
  <si>
    <t>Subventions d'investissement affectées à des biens non renouvelables</t>
  </si>
  <si>
    <t>004</t>
  </si>
  <si>
    <t>Année réf</t>
  </si>
  <si>
    <t>5.3.1. Tableau des effectifs</t>
  </si>
  <si>
    <t>Catégorie</t>
  </si>
  <si>
    <t xml:space="preserve">Nombre d'agents à temps plein </t>
  </si>
  <si>
    <t>Temps partiel</t>
  </si>
  <si>
    <t>Total</t>
  </si>
  <si>
    <t>Nombre d'agents</t>
  </si>
  <si>
    <t>Nombre d'ETP</t>
  </si>
  <si>
    <t>(4) = (1) + (2)</t>
  </si>
  <si>
    <t>(5) = (1) + (3)</t>
  </si>
  <si>
    <t xml:space="preserve">DIRECTION / ENCADREMENT </t>
  </si>
  <si>
    <t>Equivalent Temps Plein (ETP) moyens annuels rémunérés</t>
  </si>
  <si>
    <t xml:space="preserve">01 : Directeur </t>
  </si>
  <si>
    <t>C'est la moyenne des ETP moyens mensuels. Cette notion fait référence à la fois à la durée de travail dans l'année, et à la quotité de travail dans la semaine.</t>
  </si>
  <si>
    <t>03 : Médecin directeur</t>
  </si>
  <si>
    <t>Par exemple :</t>
  </si>
  <si>
    <t>04 : Directeur adjoint, attaché de direction., économe</t>
  </si>
  <si>
    <t>-          Un salarié qui est rémunéré toute l'année à temps plein compte pour 1 ETP.</t>
  </si>
  <si>
    <t>09 : Educateur spécialisé - encadrement</t>
  </si>
  <si>
    <t>-          Un salarié qui est rémunéré du 1er juillet au 31 décembre à temps plein compte pour 0.5 ETP.</t>
  </si>
  <si>
    <t>10 : Educateur technique - encadrement</t>
  </si>
  <si>
    <t>-          Un salarié qui est rémunéré à mi-temps  toute l'année compte pour 0.5 ETP.</t>
  </si>
  <si>
    <t>11 : Educateur technique spécialisé - encadrement</t>
  </si>
  <si>
    <t>-          Un salarié qui est rémunéré à mi-temps du 1er juillet au 31 décembre à temps plein compte pour 0.25 ETP.</t>
  </si>
  <si>
    <t>12 : Chef d'atelier</t>
  </si>
  <si>
    <t>13 : Assistant de service social - encadrement</t>
  </si>
  <si>
    <t>14 : Educateur de jeunes enfants - encadrement</t>
  </si>
  <si>
    <t>15 : Conseiller en économie sociale - encadrement</t>
  </si>
  <si>
    <t>16 : Chef de service éducatif</t>
  </si>
  <si>
    <t>17 : Cadre infirmier - encadrement</t>
  </si>
  <si>
    <t>18 : Cadre infirmier psychiatrique</t>
  </si>
  <si>
    <t>19 : Autre cadre - pédagogique et social</t>
  </si>
  <si>
    <t>20 : Autre cadre - paramédical</t>
  </si>
  <si>
    <t>21 : Chef de service général/documentaire/informatique</t>
  </si>
  <si>
    <t>ADMINISTRATION / GESTION</t>
  </si>
  <si>
    <t>05 : Agent administratif et de bureau</t>
  </si>
  <si>
    <t>06 : Autre personnel de direction/ gestion /administration</t>
  </si>
  <si>
    <t>SERVICES GENERAUX</t>
  </si>
  <si>
    <t>07 : Agent de service général</t>
  </si>
  <si>
    <t>08 : Ouvrier professionnel</t>
  </si>
  <si>
    <r>
      <t>71 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Maîtresse de maison</t>
    </r>
  </si>
  <si>
    <t>72 : Veilleur de nuit </t>
  </si>
  <si>
    <t>RESTAURATION</t>
  </si>
  <si>
    <t>SOCIO-EDUCATIF</t>
  </si>
  <si>
    <t>22 : Educateur scolaire</t>
  </si>
  <si>
    <t>23 : Instituteur spécialisé</t>
  </si>
  <si>
    <t>24 : Instituteur</t>
  </si>
  <si>
    <t>25 : Professeur des écoles</t>
  </si>
  <si>
    <t>26 : Professeur agrégé</t>
  </si>
  <si>
    <t>27 : Professeur enseignement général collège</t>
  </si>
  <si>
    <t>28 : Professeur lycée professionnel</t>
  </si>
  <si>
    <t>29 : Maître-auxiliaire</t>
  </si>
  <si>
    <t>30 : Professeur/moniteur E.P.S.</t>
  </si>
  <si>
    <t>31 : Professeur technique - enseignement professionnel</t>
  </si>
  <si>
    <t>32 : Educateur technique spécialisé</t>
  </si>
  <si>
    <t>33 : Educateur technique</t>
  </si>
  <si>
    <t>34 : Moniteur d'atelier</t>
  </si>
  <si>
    <t>35 : Educateur spécialisé</t>
  </si>
  <si>
    <t>36 : Moniteur éducateur</t>
  </si>
  <si>
    <t>37 : Moniteur de jardin d'enfants</t>
  </si>
  <si>
    <t>38 : Aide médico-psychologique</t>
  </si>
  <si>
    <t>61A : Aide-soignant (sauf SSIAD)</t>
  </si>
  <si>
    <t>39 : Educateur PJJ</t>
  </si>
  <si>
    <t>40 : Assistant de service social</t>
  </si>
  <si>
    <t>41 : Moniteur enseignement ménager</t>
  </si>
  <si>
    <t>42 : Conseiller en économie sociale et familiale</t>
  </si>
  <si>
    <t>43 : Assistante maternelle</t>
  </si>
  <si>
    <t>44 : Personnel d'aide à domicile</t>
  </si>
  <si>
    <t>45 : Travailleur familial</t>
  </si>
  <si>
    <t>46 : Animateur social</t>
  </si>
  <si>
    <t>47 : Autre personnel éducatif.</t>
  </si>
  <si>
    <t>64 : Att. form. éducateur spécialisé</t>
  </si>
  <si>
    <t>65 : Att. form. moniteur éducateur</t>
  </si>
  <si>
    <t>66 : Att. form. médico-psychologique</t>
  </si>
  <si>
    <t>67 : Elève éducateur spécialisé</t>
  </si>
  <si>
    <t>68 : Elève moniteur éducateur</t>
  </si>
  <si>
    <t>69 : Elève aide médico-psychologique</t>
  </si>
  <si>
    <t>MEDICAL</t>
  </si>
  <si>
    <t>48 : Psychiatre</t>
  </si>
  <si>
    <t>49 : Pédiatre</t>
  </si>
  <si>
    <t>50 : Médecin rééducation fonctionnelle</t>
  </si>
  <si>
    <t>51 : Autre spécialiste</t>
  </si>
  <si>
    <t>52 : Médecin généraliste</t>
  </si>
  <si>
    <t>PARAMEDICAL</t>
  </si>
  <si>
    <t>53 : Psychologue</t>
  </si>
  <si>
    <t>54 : Infirmier D.E.</t>
  </si>
  <si>
    <t>55 : Infirmier psychiatrique</t>
  </si>
  <si>
    <t>56 : Masseur kinésithérapeute</t>
  </si>
  <si>
    <t>57 : Ergothérapeute</t>
  </si>
  <si>
    <t>58 : Orthophoniste</t>
  </si>
  <si>
    <t>59 : Orthoptiste</t>
  </si>
  <si>
    <t>60 : Psychomotricien</t>
  </si>
  <si>
    <t>62 : Auxiliaire de puériculture</t>
  </si>
  <si>
    <t>63 : Autre - paramédical diplômé</t>
  </si>
  <si>
    <t xml:space="preserve">70 : Puéricultrice </t>
  </si>
  <si>
    <t>61B : Aide-soignant (pour SSIAD)</t>
  </si>
  <si>
    <t>Budget exécutoire N-1</t>
  </si>
  <si>
    <t>Budget proposé N</t>
  </si>
  <si>
    <t>Budget retenu N</t>
  </si>
  <si>
    <t>#BP-2022-01#</t>
  </si>
  <si>
    <r>
      <t>GROUPE I :</t>
    </r>
    <r>
      <rPr>
        <b/>
        <sz val="14"/>
        <rFont val="Times New Roman"/>
        <family val="1"/>
      </rPr>
      <t xml:space="preserve"> DEPENSES AFFERENTES A L'EXPLOITATION COURANTE</t>
    </r>
  </si>
  <si>
    <r>
      <t xml:space="preserve"> </t>
    </r>
    <r>
      <rPr>
        <b/>
        <u val="single"/>
        <sz val="14"/>
        <rFont val="Times New Roman"/>
        <family val="1"/>
      </rPr>
      <t>GROUPE II</t>
    </r>
    <r>
      <rPr>
        <b/>
        <sz val="14"/>
        <rFont val="Times New Roman"/>
        <family val="1"/>
      </rPr>
      <t xml:space="preserve"> : DEPENSES AFFERENTES AU PERSONNEL</t>
    </r>
  </si>
  <si>
    <r>
      <t xml:space="preserve"> </t>
    </r>
    <r>
      <rPr>
        <b/>
        <u val="single"/>
        <sz val="14"/>
        <rFont val="Times New Roman"/>
        <family val="1"/>
      </rPr>
      <t>GROUPE III</t>
    </r>
    <r>
      <rPr>
        <b/>
        <sz val="14"/>
        <rFont val="Times New Roman"/>
        <family val="1"/>
      </rPr>
      <t xml:space="preserve"> : DEPENSES AFFERENTES A LA STRUCTURE </t>
    </r>
  </si>
  <si>
    <r>
      <t>GROUPE I :</t>
    </r>
    <r>
      <rPr>
        <b/>
        <sz val="14"/>
        <rFont val="Times New Roman"/>
        <family val="1"/>
      </rPr>
      <t xml:space="preserve"> PRODUITS DE LA TARIFICATION</t>
    </r>
  </si>
  <si>
    <r>
      <t>GROUPE II :</t>
    </r>
    <r>
      <rPr>
        <b/>
        <sz val="14"/>
        <rFont val="Times New Roman"/>
        <family val="1"/>
      </rPr>
      <t xml:space="preserve"> AUTRES PRODUITS RELATIFS A L'EXPLOITATION</t>
    </r>
  </si>
  <si>
    <r>
      <t>GROUPE III :</t>
    </r>
    <r>
      <rPr>
        <b/>
        <sz val="14"/>
        <rFont val="Times New Roman"/>
        <family val="1"/>
      </rPr>
      <t xml:space="preserve">  PRODUITS FINANCIERS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</si>
</sst>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00"/>
    <numFmt numFmtId="169" formatCode="_-* #,##0.00&quot; F&quot;_-;\-* #,##0.00&quot; F&quot;_-;_-* &quot;-&quot;??&quot; F&quot;_-;_-@_-"/>
    <numFmt numFmtId="170" formatCode="_-* #,##0.00_ _F_-;\-* #,##0.00_ _F_-;_-* &quot;-&quot;??_ _F_-;_-@_-"/>
    <numFmt numFmtId="171" formatCode="_-* #,##0.00\ [$€-1]_-;\-* #,##0.00\ [$€-1]_-;_-* &quot;-&quot;??\ [$€-1]_-"/>
    <numFmt numFmtId="172" formatCode="_-* #,##0.00,\€_-;\-* #,##0.00,\€_-;_-* \-??&quot; €&quot;_-;_-@_-"/>
    <numFmt numFmtId="173" formatCode="_-* #,##0.00&quot; €&quot;_-;\-* #,##0.00&quot; €&quot;_-;_-* \-??&quot; €&quot;_-;_-@_-"/>
    <numFmt numFmtId="174" formatCode="#,##0.0"/>
    <numFmt numFmtId="175" formatCode="#,##0.000"/>
    <numFmt numFmtId="176" formatCode="#,##0.0000"/>
    <numFmt numFmtId="177" formatCode="#,##0.00000"/>
    <numFmt numFmtId="178" formatCode="0.0%"/>
  </numFmts>
  <fonts count="1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Geneva"/>
      <family val="0"/>
    </font>
    <font>
      <b/>
      <sz val="16"/>
      <name val="Times New Roman"/>
      <family val="1"/>
    </font>
    <font>
      <sz val="14"/>
      <name val="Tms Rmn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Tms Rmn"/>
      <family val="0"/>
    </font>
    <font>
      <b/>
      <sz val="14"/>
      <name val="Times New Roman"/>
      <family val="1"/>
    </font>
    <font>
      <b/>
      <sz val="14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Tms Rmn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5"/>
      <name val="Tms Rmn"/>
      <family val="0"/>
    </font>
    <font>
      <sz val="11"/>
      <name val="Tms Rmn"/>
      <family val="0"/>
    </font>
    <font>
      <sz val="20"/>
      <name val="Tms Rmn"/>
      <family val="0"/>
    </font>
    <font>
      <i/>
      <sz val="26"/>
      <name val="Times New Roman"/>
      <family val="1"/>
    </font>
    <font>
      <b/>
      <sz val="22"/>
      <name val="Times New Roman"/>
      <family val="1"/>
    </font>
    <font>
      <sz val="26"/>
      <name val="Times New Roman"/>
      <family val="1"/>
    </font>
    <font>
      <b/>
      <sz val="16"/>
      <name val="Geneva"/>
      <family val="0"/>
    </font>
    <font>
      <b/>
      <i/>
      <sz val="16"/>
      <name val="Times New Roman"/>
      <family val="1"/>
    </font>
    <font>
      <sz val="12"/>
      <name val="Tms Rmn"/>
      <family val="0"/>
    </font>
    <font>
      <sz val="1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i/>
      <sz val="13"/>
      <name val="Times New Roman"/>
      <family val="1"/>
    </font>
    <font>
      <b/>
      <i/>
      <sz val="20"/>
      <name val="Times New Roman"/>
      <family val="1"/>
    </font>
    <font>
      <sz val="13"/>
      <name val="Tms Rmn"/>
      <family val="0"/>
    </font>
    <font>
      <sz val="16"/>
      <name val="Geneva"/>
      <family val="0"/>
    </font>
    <font>
      <b/>
      <sz val="17"/>
      <name val="Times New Roman"/>
      <family val="1"/>
    </font>
    <font>
      <i/>
      <u val="single"/>
      <sz val="14"/>
      <name val="Times New Roman"/>
      <family val="1"/>
    </font>
    <font>
      <i/>
      <sz val="17"/>
      <name val="Times New Roman"/>
      <family val="1"/>
    </font>
    <font>
      <sz val="22"/>
      <name val="Times New Roman"/>
      <family val="1"/>
    </font>
    <font>
      <b/>
      <i/>
      <sz val="19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i/>
      <sz val="18"/>
      <name val="Times New Roman"/>
      <family val="1"/>
    </font>
    <font>
      <sz val="24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24"/>
      <name val="Times New Roman"/>
      <family val="1"/>
    </font>
    <font>
      <sz val="17"/>
      <name val="Tms Rmn"/>
      <family val="0"/>
    </font>
    <font>
      <sz val="15"/>
      <name val="Times New Roman"/>
      <family val="1"/>
    </font>
    <font>
      <b/>
      <sz val="15"/>
      <name val="Times"/>
      <family val="1"/>
    </font>
    <font>
      <b/>
      <sz val="10"/>
      <name val="Geneva"/>
      <family val="0"/>
    </font>
    <font>
      <sz val="15"/>
      <name val="Times"/>
      <family val="1"/>
    </font>
    <font>
      <sz val="11"/>
      <name val="Times"/>
      <family val="1"/>
    </font>
    <font>
      <sz val="17"/>
      <name val="Times"/>
      <family val="1"/>
    </font>
    <font>
      <sz val="10"/>
      <name val="Times"/>
      <family val="1"/>
    </font>
    <font>
      <sz val="20"/>
      <name val="Times"/>
      <family val="1"/>
    </font>
    <font>
      <sz val="12"/>
      <name val="Times"/>
      <family val="1"/>
    </font>
    <font>
      <b/>
      <sz val="17"/>
      <name val="Times"/>
      <family val="1"/>
    </font>
    <font>
      <i/>
      <sz val="15"/>
      <name val="Times"/>
      <family val="1"/>
    </font>
    <font>
      <b/>
      <i/>
      <sz val="15"/>
      <name val="Times"/>
      <family val="1"/>
    </font>
    <font>
      <b/>
      <sz val="11"/>
      <name val="Times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sz val="8"/>
      <color indexed="63"/>
      <name val="Univers"/>
      <family val="2"/>
    </font>
    <font>
      <sz val="4.5"/>
      <color indexed="63"/>
      <name val="Univers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Geneva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9"/>
      <name val="Arial"/>
      <family val="2"/>
    </font>
    <font>
      <b/>
      <i/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72"/>
      <color indexed="9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0"/>
      <color theme="0"/>
      <name val="Arial"/>
      <family val="2"/>
    </font>
    <font>
      <b/>
      <i/>
      <sz val="14"/>
      <color theme="0"/>
      <name val="Times New Roman"/>
      <family val="1"/>
    </font>
    <font>
      <sz val="10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C227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6" borderId="1" applyNumberFormat="0" applyAlignment="0" applyProtection="0"/>
    <xf numFmtId="0" fontId="118" fillId="0" borderId="2" applyNumberFormat="0" applyFill="0" applyAlignment="0" applyProtection="0"/>
    <xf numFmtId="0" fontId="119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0" fillId="0" borderId="0" applyFont="0" applyFill="0" applyBorder="0" applyProtection="0">
      <alignment horizontal="right" vertical="center"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121" fillId="0" borderId="0" applyBorder="0" applyProtection="0">
      <alignment/>
    </xf>
    <xf numFmtId="169" fontId="7" fillId="0" borderId="0" applyFont="0" applyFill="0" applyBorder="0" applyAlignment="0" applyProtection="0"/>
    <xf numFmtId="0" fontId="12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3" fillId="31" borderId="0" applyNumberFormat="0" applyBorder="0" applyAlignment="0" applyProtection="0"/>
    <xf numFmtId="0" fontId="124" fillId="26" borderId="4" applyNumberFormat="0" applyAlignment="0" applyProtection="0"/>
    <xf numFmtId="0" fontId="125" fillId="0" borderId="0" applyNumberFormat="0" applyFill="0" applyBorder="0" applyAlignment="0" applyProtection="0"/>
    <xf numFmtId="0" fontId="0" fillId="0" borderId="0">
      <alignment/>
      <protection/>
    </xf>
    <xf numFmtId="0" fontId="126" fillId="0" borderId="0" applyNumberFormat="0" applyFill="0" applyBorder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9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8" applyNumberFormat="0" applyFill="0" applyAlignment="0" applyProtection="0"/>
    <xf numFmtId="0" fontId="131" fillId="32" borderId="9" applyNumberFormat="0" applyAlignment="0" applyProtection="0"/>
  </cellStyleXfs>
  <cellXfs count="87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8" fillId="0" borderId="0" xfId="78" applyFont="1" applyBorder="1" applyAlignment="1">
      <alignment horizontal="left" vertical="center"/>
      <protection/>
    </xf>
    <xf numFmtId="0" fontId="7" fillId="0" borderId="0" xfId="78">
      <alignment/>
      <protection/>
    </xf>
    <xf numFmtId="0" fontId="9" fillId="0" borderId="0" xfId="78" applyFont="1">
      <alignment/>
      <protection/>
    </xf>
    <xf numFmtId="0" fontId="10" fillId="0" borderId="0" xfId="78" applyFont="1">
      <alignment/>
      <protection/>
    </xf>
    <xf numFmtId="0" fontId="11" fillId="0" borderId="0" xfId="78" applyFont="1" applyBorder="1" applyAlignment="1">
      <alignment horizontal="centerContinuous" vertical="center"/>
      <protection/>
    </xf>
    <xf numFmtId="0" fontId="4" fillId="0" borderId="0" xfId="78" applyFont="1">
      <alignment/>
      <protection/>
    </xf>
    <xf numFmtId="0" fontId="9" fillId="0" borderId="0" xfId="78" applyFont="1" applyBorder="1" applyAlignment="1">
      <alignment vertical="center"/>
      <protection/>
    </xf>
    <xf numFmtId="0" fontId="9" fillId="0" borderId="0" xfId="78" applyFont="1" applyBorder="1" applyAlignment="1">
      <alignment horizontal="center" vertical="center"/>
      <protection/>
    </xf>
    <xf numFmtId="0" fontId="10" fillId="0" borderId="0" xfId="78" applyFont="1" applyBorder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5" fillId="0" borderId="0" xfId="78" applyFont="1" applyBorder="1" applyAlignment="1">
      <alignment vertical="center"/>
      <protection/>
    </xf>
    <xf numFmtId="49" fontId="13" fillId="0" borderId="0" xfId="78" applyNumberFormat="1" applyFont="1" applyBorder="1" applyAlignment="1">
      <alignment horizontal="center" vertical="center"/>
      <protection/>
    </xf>
    <xf numFmtId="0" fontId="4" fillId="0" borderId="0" xfId="78" applyFont="1" applyBorder="1" applyAlignment="1">
      <alignment vertical="center"/>
      <protection/>
    </xf>
    <xf numFmtId="49" fontId="4" fillId="0" borderId="0" xfId="78" applyNumberFormat="1" applyFont="1" applyBorder="1" applyAlignment="1">
      <alignment horizontal="center" vertical="center"/>
      <protection/>
    </xf>
    <xf numFmtId="0" fontId="12" fillId="0" borderId="17" xfId="78" applyFont="1" applyBorder="1" applyAlignment="1">
      <alignment vertical="center"/>
      <protection/>
    </xf>
    <xf numFmtId="0" fontId="10" fillId="0" borderId="0" xfId="78" applyFont="1" applyAlignment="1">
      <alignment vertical="center"/>
      <protection/>
    </xf>
    <xf numFmtId="0" fontId="4" fillId="0" borderId="18" xfId="78" applyFont="1" applyBorder="1" applyAlignment="1">
      <alignment vertical="center"/>
      <protection/>
    </xf>
    <xf numFmtId="0" fontId="4" fillId="0" borderId="19" xfId="78" applyFont="1" applyBorder="1" applyAlignment="1">
      <alignment vertical="center"/>
      <protection/>
    </xf>
    <xf numFmtId="0" fontId="9" fillId="0" borderId="0" xfId="78" applyFont="1" applyAlignment="1">
      <alignment vertical="center"/>
      <protection/>
    </xf>
    <xf numFmtId="0" fontId="14" fillId="0" borderId="0" xfId="78" applyFont="1" applyAlignment="1">
      <alignment vertical="center"/>
      <protection/>
    </xf>
    <xf numFmtId="0" fontId="15" fillId="0" borderId="0" xfId="78" applyFont="1" applyAlignment="1">
      <alignment vertical="center"/>
      <protection/>
    </xf>
    <xf numFmtId="0" fontId="12" fillId="0" borderId="0" xfId="78" applyFont="1" applyBorder="1" applyAlignment="1">
      <alignment vertical="center"/>
      <protection/>
    </xf>
    <xf numFmtId="0" fontId="5" fillId="0" borderId="17" xfId="78" applyFont="1" applyBorder="1" applyAlignment="1">
      <alignment vertical="center"/>
      <protection/>
    </xf>
    <xf numFmtId="0" fontId="16" fillId="0" borderId="0" xfId="78" applyFont="1" applyBorder="1" applyAlignment="1">
      <alignment vertical="center"/>
      <protection/>
    </xf>
    <xf numFmtId="0" fontId="17" fillId="0" borderId="0" xfId="78" applyFont="1" applyBorder="1" applyAlignment="1">
      <alignment vertical="center"/>
      <protection/>
    </xf>
    <xf numFmtId="0" fontId="16" fillId="0" borderId="0" xfId="79" applyFont="1" applyAlignment="1">
      <alignment vertical="center"/>
      <protection/>
    </xf>
    <xf numFmtId="0" fontId="9" fillId="0" borderId="0" xfId="79" applyFont="1" applyAlignment="1">
      <alignment vertical="center"/>
      <protection/>
    </xf>
    <xf numFmtId="0" fontId="17" fillId="0" borderId="0" xfId="79" applyFont="1" applyBorder="1" applyAlignment="1">
      <alignment vertical="center"/>
      <protection/>
    </xf>
    <xf numFmtId="0" fontId="9" fillId="0" borderId="0" xfId="79" applyFont="1" applyBorder="1" applyAlignment="1">
      <alignment vertical="center"/>
      <protection/>
    </xf>
    <xf numFmtId="0" fontId="8" fillId="0" borderId="0" xfId="79" applyFont="1" applyBorder="1" applyAlignment="1">
      <alignment horizontal="left" vertical="center"/>
      <protection/>
    </xf>
    <xf numFmtId="49" fontId="20" fillId="0" borderId="0" xfId="79" applyNumberFormat="1" applyFont="1" applyBorder="1" applyAlignment="1">
      <alignment horizontal="center" vertical="center"/>
      <protection/>
    </xf>
    <xf numFmtId="49" fontId="21" fillId="0" borderId="0" xfId="79" applyNumberFormat="1" applyFont="1" applyBorder="1" applyAlignment="1">
      <alignment horizontal="center" vertical="center"/>
      <protection/>
    </xf>
    <xf numFmtId="0" fontId="10" fillId="0" borderId="0" xfId="79" applyFont="1" applyAlignment="1">
      <alignment vertical="center"/>
      <protection/>
    </xf>
    <xf numFmtId="0" fontId="16" fillId="0" borderId="0" xfId="79" applyFont="1" applyBorder="1" applyAlignment="1">
      <alignment vertical="center"/>
      <protection/>
    </xf>
    <xf numFmtId="0" fontId="10" fillId="0" borderId="0" xfId="79" applyFont="1">
      <alignment/>
      <protection/>
    </xf>
    <xf numFmtId="0" fontId="10" fillId="0" borderId="0" xfId="79" applyFont="1" applyBorder="1" applyAlignment="1">
      <alignment vertical="center"/>
      <protection/>
    </xf>
    <xf numFmtId="0" fontId="13" fillId="0" borderId="0" xfId="79" applyFont="1" applyAlignment="1">
      <alignment vertical="center"/>
      <protection/>
    </xf>
    <xf numFmtId="0" fontId="4" fillId="0" borderId="0" xfId="79" applyFont="1">
      <alignment/>
      <protection/>
    </xf>
    <xf numFmtId="0" fontId="9" fillId="0" borderId="0" xfId="79" applyFont="1">
      <alignment/>
      <protection/>
    </xf>
    <xf numFmtId="0" fontId="24" fillId="0" borderId="0" xfId="70" applyFont="1" applyAlignment="1">
      <alignment horizontal="right"/>
      <protection/>
    </xf>
    <xf numFmtId="0" fontId="25" fillId="0" borderId="0" xfId="70" applyFont="1" applyAlignment="1">
      <alignment horizontal="left"/>
      <protection/>
    </xf>
    <xf numFmtId="0" fontId="12" fillId="0" borderId="0" xfId="70" applyFont="1">
      <alignment/>
      <protection/>
    </xf>
    <xf numFmtId="0" fontId="7" fillId="0" borderId="0" xfId="70">
      <alignment/>
      <protection/>
    </xf>
    <xf numFmtId="0" fontId="26" fillId="0" borderId="0" xfId="70" applyFont="1">
      <alignment/>
      <protection/>
    </xf>
    <xf numFmtId="0" fontId="7" fillId="0" borderId="0" xfId="70" applyAlignment="1">
      <alignment horizontal="center"/>
      <protection/>
    </xf>
    <xf numFmtId="0" fontId="27" fillId="0" borderId="0" xfId="71" applyFont="1" applyBorder="1" applyAlignment="1">
      <alignment horizontal="left" vertical="center"/>
      <protection/>
    </xf>
    <xf numFmtId="0" fontId="28" fillId="0" borderId="0" xfId="71" applyFont="1">
      <alignment/>
      <protection/>
    </xf>
    <xf numFmtId="0" fontId="29" fillId="0" borderId="0" xfId="71" applyFont="1" applyAlignment="1">
      <alignment vertical="center"/>
      <protection/>
    </xf>
    <xf numFmtId="0" fontId="30" fillId="0" borderId="0" xfId="70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left" vertical="center"/>
      <protection/>
    </xf>
    <xf numFmtId="0" fontId="28" fillId="0" borderId="0" xfId="71" applyFont="1" applyAlignment="1">
      <alignment horizontal="left" vertical="center"/>
      <protection/>
    </xf>
    <xf numFmtId="0" fontId="16" fillId="0" borderId="0" xfId="71" applyFont="1" applyBorder="1" applyAlignment="1">
      <alignment horizontal="centerContinuous" vertical="center"/>
      <protection/>
    </xf>
    <xf numFmtId="0" fontId="28" fillId="0" borderId="0" xfId="71" applyFont="1" applyBorder="1" applyAlignment="1">
      <alignment horizontal="centerContinuous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30" fillId="0" borderId="0" xfId="70" applyFont="1" applyAlignment="1">
      <alignment horizontal="center" vertical="center" wrapText="1"/>
      <protection/>
    </xf>
    <xf numFmtId="0" fontId="31" fillId="0" borderId="0" xfId="71" applyFont="1" applyBorder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4" fillId="0" borderId="0" xfId="71" applyFont="1" applyBorder="1" applyAlignment="1">
      <alignment horizontal="left"/>
      <protection/>
    </xf>
    <xf numFmtId="0" fontId="33" fillId="0" borderId="0" xfId="71" applyFont="1" applyAlignment="1">
      <alignment horizontal="left"/>
      <protection/>
    </xf>
    <xf numFmtId="0" fontId="10" fillId="0" borderId="0" xfId="71" applyFont="1" applyBorder="1" applyAlignment="1">
      <alignment horizontal="left" vertical="center" wrapText="1"/>
      <protection/>
    </xf>
    <xf numFmtId="0" fontId="34" fillId="0" borderId="20" xfId="71" applyFont="1" applyBorder="1" applyAlignment="1">
      <alignment horizontal="left" vertical="center" wrapText="1"/>
      <protection/>
    </xf>
    <xf numFmtId="0" fontId="10" fillId="0" borderId="21" xfId="71" applyFont="1" applyBorder="1" applyAlignment="1">
      <alignment vertical="center" wrapText="1"/>
      <protection/>
    </xf>
    <xf numFmtId="0" fontId="20" fillId="0" borderId="0" xfId="71" applyFont="1" applyBorder="1" applyAlignment="1">
      <alignment vertical="center" wrapText="1"/>
      <protection/>
    </xf>
    <xf numFmtId="0" fontId="20" fillId="0" borderId="0" xfId="71" applyFont="1" applyAlignment="1">
      <alignment vertical="center" wrapText="1"/>
      <protection/>
    </xf>
    <xf numFmtId="0" fontId="34" fillId="0" borderId="20" xfId="71" applyFont="1" applyBorder="1" applyAlignment="1">
      <alignment horizontal="left" vertical="center"/>
      <protection/>
    </xf>
    <xf numFmtId="0" fontId="20" fillId="0" borderId="0" xfId="71" applyFont="1" applyAlignment="1">
      <alignment vertical="center"/>
      <protection/>
    </xf>
    <xf numFmtId="0" fontId="34" fillId="0" borderId="0" xfId="71" applyFont="1" applyBorder="1" applyAlignment="1">
      <alignment horizontal="left" vertical="center" wrapText="1"/>
      <protection/>
    </xf>
    <xf numFmtId="0" fontId="10" fillId="0" borderId="0" xfId="71" applyFont="1" applyBorder="1" applyAlignment="1">
      <alignment vertical="center" wrapText="1"/>
      <protection/>
    </xf>
    <xf numFmtId="0" fontId="4" fillId="0" borderId="0" xfId="71" applyFont="1">
      <alignment/>
      <protection/>
    </xf>
    <xf numFmtId="0" fontId="35" fillId="0" borderId="0" xfId="71" applyFont="1" applyBorder="1" applyAlignment="1">
      <alignment vertical="center" wrapText="1"/>
      <protection/>
    </xf>
    <xf numFmtId="0" fontId="34" fillId="0" borderId="22" xfId="71" applyFont="1" applyBorder="1" applyAlignment="1">
      <alignment horizontal="left" vertical="center" wrapText="1"/>
      <protection/>
    </xf>
    <xf numFmtId="0" fontId="10" fillId="0" borderId="23" xfId="71" applyFont="1" applyBorder="1" applyAlignment="1">
      <alignment vertical="center" wrapText="1"/>
      <protection/>
    </xf>
    <xf numFmtId="0" fontId="20" fillId="0" borderId="0" xfId="71" applyFont="1">
      <alignment/>
      <protection/>
    </xf>
    <xf numFmtId="0" fontId="10" fillId="0" borderId="24" xfId="71" applyFont="1" applyBorder="1" applyAlignment="1">
      <alignment vertical="center" wrapText="1"/>
      <protection/>
    </xf>
    <xf numFmtId="0" fontId="20" fillId="0" borderId="0" xfId="71" applyFont="1" applyBorder="1">
      <alignment/>
      <protection/>
    </xf>
    <xf numFmtId="0" fontId="36" fillId="0" borderId="0" xfId="71" applyFont="1" applyBorder="1" applyAlignment="1">
      <alignment horizontal="left" vertical="center" wrapText="1"/>
      <protection/>
    </xf>
    <xf numFmtId="0" fontId="34" fillId="0" borderId="0" xfId="71" applyFont="1" applyBorder="1" applyAlignment="1">
      <alignment vertical="center" wrapText="1"/>
      <protection/>
    </xf>
    <xf numFmtId="0" fontId="4" fillId="0" borderId="0" xfId="71" applyFont="1" applyBorder="1" applyAlignment="1">
      <alignment vertical="center" wrapText="1"/>
      <protection/>
    </xf>
    <xf numFmtId="0" fontId="31" fillId="0" borderId="0" xfId="72" applyFont="1" applyBorder="1" applyAlignment="1">
      <alignment horizontal="left" vertical="center"/>
      <protection/>
    </xf>
    <xf numFmtId="0" fontId="37" fillId="0" borderId="0" xfId="72" applyFont="1" applyBorder="1" applyAlignment="1">
      <alignment horizontal="left" vertical="center"/>
      <protection/>
    </xf>
    <xf numFmtId="0" fontId="35" fillId="0" borderId="0" xfId="72" applyFont="1" applyBorder="1" applyAlignment="1">
      <alignment vertical="center" wrapText="1"/>
      <protection/>
    </xf>
    <xf numFmtId="0" fontId="21" fillId="0" borderId="0" xfId="72" applyFont="1" applyBorder="1" applyAlignment="1">
      <alignment vertical="center" wrapText="1"/>
      <protection/>
    </xf>
    <xf numFmtId="0" fontId="34" fillId="0" borderId="20" xfId="72" applyFont="1" applyBorder="1" applyAlignment="1">
      <alignment horizontal="left" vertical="center" wrapText="1"/>
      <protection/>
    </xf>
    <xf numFmtId="0" fontId="10" fillId="0" borderId="21" xfId="72" applyFont="1" applyBorder="1" applyAlignment="1">
      <alignment vertical="center" wrapText="1"/>
      <protection/>
    </xf>
    <xf numFmtId="0" fontId="20" fillId="0" borderId="0" xfId="72" applyFont="1" applyAlignment="1">
      <alignment vertical="center" wrapText="1"/>
      <protection/>
    </xf>
    <xf numFmtId="0" fontId="21" fillId="0" borderId="0" xfId="72" applyFont="1" applyAlignment="1">
      <alignment vertical="center" wrapText="1"/>
      <protection/>
    </xf>
    <xf numFmtId="0" fontId="39" fillId="0" borderId="0" xfId="72" applyFont="1" applyAlignment="1">
      <alignment vertical="center" wrapText="1"/>
      <protection/>
    </xf>
    <xf numFmtId="0" fontId="25" fillId="0" borderId="0" xfId="70" applyFont="1" applyBorder="1" applyAlignment="1">
      <alignment vertical="center"/>
      <protection/>
    </xf>
    <xf numFmtId="0" fontId="25" fillId="0" borderId="0" xfId="70" applyFont="1" applyAlignment="1">
      <alignment vertical="center"/>
      <protection/>
    </xf>
    <xf numFmtId="0" fontId="7" fillId="0" borderId="0" xfId="70" applyBorder="1" applyAlignment="1">
      <alignment vertical="center"/>
      <protection/>
    </xf>
    <xf numFmtId="0" fontId="7" fillId="0" borderId="0" xfId="70" applyAlignment="1">
      <alignment vertical="center"/>
      <protection/>
    </xf>
    <xf numFmtId="0" fontId="10" fillId="0" borderId="21" xfId="70" applyFont="1" applyBorder="1" applyAlignment="1">
      <alignment vertical="center" wrapText="1"/>
      <protection/>
    </xf>
    <xf numFmtId="0" fontId="21" fillId="0" borderId="0" xfId="70" applyFont="1" applyAlignment="1">
      <alignment vertical="center"/>
      <protection/>
    </xf>
    <xf numFmtId="0" fontId="10" fillId="0" borderId="21" xfId="70" applyFont="1" applyBorder="1" applyAlignment="1">
      <alignment vertical="center"/>
      <protection/>
    </xf>
    <xf numFmtId="0" fontId="21" fillId="0" borderId="0" xfId="70" applyFont="1" applyBorder="1" applyAlignment="1">
      <alignment vertical="center" wrapText="1"/>
      <protection/>
    </xf>
    <xf numFmtId="0" fontId="21" fillId="0" borderId="0" xfId="70" applyFont="1" applyAlignment="1">
      <alignment vertical="center" wrapText="1"/>
      <protection/>
    </xf>
    <xf numFmtId="0" fontId="21" fillId="0" borderId="0" xfId="70" applyFont="1" applyBorder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23" fillId="0" borderId="20" xfId="69" applyFont="1" applyBorder="1" applyAlignment="1">
      <alignment horizontal="left" vertical="center"/>
      <protection/>
    </xf>
    <xf numFmtId="0" fontId="10" fillId="0" borderId="21" xfId="69" applyFont="1" applyBorder="1" applyAlignment="1">
      <alignment vertical="center" wrapText="1"/>
      <protection/>
    </xf>
    <xf numFmtId="0" fontId="10" fillId="0" borderId="0" xfId="69" applyFont="1" applyBorder="1" applyAlignment="1">
      <alignment horizontal="left" vertical="top" wrapText="1"/>
      <protection/>
    </xf>
    <xf numFmtId="0" fontId="34" fillId="0" borderId="25" xfId="69" applyFont="1" applyBorder="1" applyAlignment="1">
      <alignment horizontal="left" vertical="center"/>
      <protection/>
    </xf>
    <xf numFmtId="0" fontId="34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vertical="center" wrapText="1"/>
      <protection/>
    </xf>
    <xf numFmtId="0" fontId="34" fillId="0" borderId="0" xfId="69" applyFont="1" applyBorder="1" applyAlignment="1">
      <alignment horizontal="left" vertical="top" wrapText="1"/>
      <protection/>
    </xf>
    <xf numFmtId="0" fontId="34" fillId="0" borderId="0" xfId="69" applyFont="1" applyBorder="1" applyAlignment="1">
      <alignment vertical="center" wrapText="1"/>
      <protection/>
    </xf>
    <xf numFmtId="0" fontId="31" fillId="0" borderId="0" xfId="72" applyFont="1" applyBorder="1" applyAlignment="1">
      <alignment vertical="center"/>
      <protection/>
    </xf>
    <xf numFmtId="0" fontId="20" fillId="0" borderId="0" xfId="72" applyFont="1" applyBorder="1">
      <alignment/>
      <protection/>
    </xf>
    <xf numFmtId="0" fontId="20" fillId="0" borderId="0" xfId="72" applyFont="1" applyBorder="1" applyAlignment="1">
      <alignment vertical="center"/>
      <protection/>
    </xf>
    <xf numFmtId="0" fontId="31" fillId="0" borderId="0" xfId="73" applyFont="1" applyBorder="1" applyAlignment="1">
      <alignment/>
      <protection/>
    </xf>
    <xf numFmtId="0" fontId="4" fillId="0" borderId="0" xfId="73" applyFont="1">
      <alignment/>
      <protection/>
    </xf>
    <xf numFmtId="0" fontId="33" fillId="0" borderId="0" xfId="73" applyFont="1" applyBorder="1" applyAlignment="1">
      <alignment vertical="center" wrapText="1"/>
      <protection/>
    </xf>
    <xf numFmtId="0" fontId="34" fillId="0" borderId="20" xfId="73" applyFont="1" applyBorder="1" applyAlignment="1">
      <alignment horizontal="left" vertical="center" wrapText="1"/>
      <protection/>
    </xf>
    <xf numFmtId="0" fontId="10" fillId="0" borderId="24" xfId="73" applyFont="1" applyBorder="1" applyAlignment="1">
      <alignment vertical="center" wrapText="1"/>
      <protection/>
    </xf>
    <xf numFmtId="0" fontId="20" fillId="0" borderId="0" xfId="73" applyFont="1" applyAlignment="1">
      <alignment vertical="center" wrapText="1"/>
      <protection/>
    </xf>
    <xf numFmtId="0" fontId="36" fillId="0" borderId="0" xfId="73" applyFont="1" applyAlignment="1">
      <alignment horizontal="left" vertical="center" wrapText="1"/>
      <protection/>
    </xf>
    <xf numFmtId="0" fontId="34" fillId="0" borderId="0" xfId="73" applyFont="1" applyBorder="1" applyAlignment="1">
      <alignment horizontal="left" vertical="center" wrapText="1"/>
      <protection/>
    </xf>
    <xf numFmtId="0" fontId="34" fillId="0" borderId="0" xfId="73" applyFont="1" applyBorder="1" applyAlignment="1">
      <alignment vertical="center" wrapText="1"/>
      <protection/>
    </xf>
    <xf numFmtId="0" fontId="20" fillId="0" borderId="0" xfId="73" applyFont="1" applyBorder="1" applyAlignment="1">
      <alignment vertical="center" wrapText="1"/>
      <protection/>
    </xf>
    <xf numFmtId="0" fontId="42" fillId="0" borderId="0" xfId="73" applyFont="1" applyAlignment="1">
      <alignment horizontal="left" vertical="center" wrapText="1"/>
      <protection/>
    </xf>
    <xf numFmtId="0" fontId="43" fillId="0" borderId="0" xfId="73" applyFont="1" applyBorder="1" applyAlignment="1">
      <alignment horizontal="left" vertical="center" wrapText="1"/>
      <protection/>
    </xf>
    <xf numFmtId="0" fontId="31" fillId="0" borderId="0" xfId="73" applyFont="1" applyBorder="1" applyAlignment="1">
      <alignment horizontal="left"/>
      <protection/>
    </xf>
    <xf numFmtId="0" fontId="44" fillId="0" borderId="0" xfId="73" applyFont="1" applyBorder="1" applyAlignment="1">
      <alignment horizontal="left"/>
      <protection/>
    </xf>
    <xf numFmtId="0" fontId="20" fillId="0" borderId="0" xfId="73" applyFont="1" applyBorder="1" applyAlignment="1">
      <alignment horizontal="left" wrapText="1"/>
      <protection/>
    </xf>
    <xf numFmtId="0" fontId="10" fillId="0" borderId="24" xfId="73" applyFont="1" applyBorder="1" applyAlignment="1">
      <alignment vertical="center"/>
      <protection/>
    </xf>
    <xf numFmtId="0" fontId="34" fillId="0" borderId="22" xfId="73" applyFont="1" applyBorder="1" applyAlignment="1">
      <alignment horizontal="left" vertical="center" wrapText="1"/>
      <protection/>
    </xf>
    <xf numFmtId="0" fontId="10" fillId="0" borderId="26" xfId="73" applyFont="1" applyBorder="1" applyAlignment="1">
      <alignment vertical="center"/>
      <protection/>
    </xf>
    <xf numFmtId="0" fontId="10" fillId="0" borderId="21" xfId="73" applyFont="1" applyBorder="1" applyAlignment="1">
      <alignment vertical="center"/>
      <protection/>
    </xf>
    <xf numFmtId="0" fontId="10" fillId="0" borderId="24" xfId="73" applyFont="1" applyBorder="1">
      <alignment/>
      <protection/>
    </xf>
    <xf numFmtId="0" fontId="4" fillId="0" borderId="0" xfId="73" applyFont="1" applyAlignment="1">
      <alignment vertical="center" wrapText="1"/>
      <protection/>
    </xf>
    <xf numFmtId="0" fontId="42" fillId="0" borderId="0" xfId="73" applyFont="1" applyAlignment="1">
      <alignment horizontal="left" wrapText="1"/>
      <protection/>
    </xf>
    <xf numFmtId="0" fontId="43" fillId="0" borderId="0" xfId="73" applyFont="1" applyAlignment="1">
      <alignment wrapText="1"/>
      <protection/>
    </xf>
    <xf numFmtId="0" fontId="35" fillId="0" borderId="0" xfId="73" applyFont="1" applyFill="1" applyBorder="1" applyAlignment="1">
      <alignment/>
      <protection/>
    </xf>
    <xf numFmtId="0" fontId="46" fillId="0" borderId="0" xfId="73" applyFont="1" applyAlignment="1">
      <alignment wrapText="1"/>
      <protection/>
    </xf>
    <xf numFmtId="0" fontId="11" fillId="0" borderId="0" xfId="73" applyFont="1" applyBorder="1" applyAlignment="1">
      <alignment vertical="center" wrapText="1"/>
      <protection/>
    </xf>
    <xf numFmtId="0" fontId="8" fillId="0" borderId="0" xfId="73" applyFont="1" applyBorder="1" applyAlignment="1">
      <alignment vertical="center" wrapText="1"/>
      <protection/>
    </xf>
    <xf numFmtId="0" fontId="10" fillId="0" borderId="21" xfId="70" applyFont="1" applyBorder="1">
      <alignment/>
      <protection/>
    </xf>
    <xf numFmtId="0" fontId="7" fillId="0" borderId="0" xfId="70" applyAlignment="1">
      <alignment horizontal="left"/>
      <protection/>
    </xf>
    <xf numFmtId="0" fontId="22" fillId="0" borderId="0" xfId="74" applyFont="1" applyBorder="1" applyAlignment="1">
      <alignment horizontal="left" vertical="center" wrapText="1"/>
      <protection/>
    </xf>
    <xf numFmtId="0" fontId="8" fillId="0" borderId="0" xfId="74" applyFont="1" applyAlignment="1">
      <alignment horizontal="center" vertical="center" wrapText="1"/>
      <protection/>
    </xf>
    <xf numFmtId="0" fontId="35" fillId="0" borderId="0" xfId="74" applyFont="1" applyAlignment="1">
      <alignment vertical="center" wrapText="1"/>
      <protection/>
    </xf>
    <xf numFmtId="0" fontId="11" fillId="0" borderId="0" xfId="74" applyFont="1" applyBorder="1" applyAlignment="1">
      <alignment horizontal="centerContinuous" vertical="center"/>
      <protection/>
    </xf>
    <xf numFmtId="0" fontId="11" fillId="0" borderId="0" xfId="74" applyFont="1" applyBorder="1" applyAlignment="1">
      <alignment horizontal="centerContinuous" vertical="center" wrapText="1"/>
      <protection/>
    </xf>
    <xf numFmtId="0" fontId="11" fillId="0" borderId="0" xfId="74" applyFont="1" applyBorder="1" applyAlignment="1">
      <alignment horizontal="left" vertical="center"/>
      <protection/>
    </xf>
    <xf numFmtId="0" fontId="11" fillId="0" borderId="0" xfId="74" applyFont="1" applyBorder="1" applyAlignment="1">
      <alignment vertical="center" wrapText="1"/>
      <protection/>
    </xf>
    <xf numFmtId="0" fontId="10" fillId="0" borderId="21" xfId="74" applyFont="1" applyBorder="1" applyAlignment="1">
      <alignment vertical="center"/>
      <protection/>
    </xf>
    <xf numFmtId="0" fontId="33" fillId="0" borderId="0" xfId="74" applyFont="1" applyAlignment="1">
      <alignment vertical="center" wrapText="1"/>
      <protection/>
    </xf>
    <xf numFmtId="0" fontId="10" fillId="0" borderId="21" xfId="74" applyFont="1" applyBorder="1" applyAlignment="1">
      <alignment vertical="center" wrapText="1"/>
      <protection/>
    </xf>
    <xf numFmtId="0" fontId="14" fillId="0" borderId="0" xfId="74" applyFont="1" applyBorder="1" applyAlignment="1">
      <alignment vertical="center" wrapText="1"/>
      <protection/>
    </xf>
    <xf numFmtId="0" fontId="47" fillId="0" borderId="0" xfId="74" applyFont="1" applyBorder="1" applyAlignment="1">
      <alignment horizontal="left" vertical="center" wrapText="1"/>
      <protection/>
    </xf>
    <xf numFmtId="0" fontId="35" fillId="0" borderId="0" xfId="74" applyFont="1" applyBorder="1" applyAlignment="1">
      <alignment vertical="center" wrapText="1"/>
      <protection/>
    </xf>
    <xf numFmtId="0" fontId="48" fillId="0" borderId="0" xfId="74" applyFont="1" applyAlignment="1">
      <alignment horizontal="left" vertical="center"/>
      <protection/>
    </xf>
    <xf numFmtId="0" fontId="48" fillId="0" borderId="0" xfId="74" applyFont="1" applyAlignment="1">
      <alignment vertical="center" wrapText="1"/>
      <protection/>
    </xf>
    <xf numFmtId="0" fontId="7" fillId="0" borderId="0" xfId="74">
      <alignment/>
      <protection/>
    </xf>
    <xf numFmtId="0" fontId="7" fillId="0" borderId="0" xfId="74" applyAlignment="1">
      <alignment vertical="center" wrapText="1"/>
      <protection/>
    </xf>
    <xf numFmtId="0" fontId="10" fillId="0" borderId="21" xfId="75" applyFont="1" applyBorder="1" applyAlignment="1">
      <alignment vertical="center"/>
      <protection/>
    </xf>
    <xf numFmtId="0" fontId="21" fillId="0" borderId="0" xfId="75" applyFont="1" applyAlignment="1">
      <alignment vertical="center" wrapText="1"/>
      <protection/>
    </xf>
    <xf numFmtId="0" fontId="38" fillId="0" borderId="0" xfId="75" applyFont="1" applyAlignment="1">
      <alignment vertical="center" wrapText="1"/>
      <protection/>
    </xf>
    <xf numFmtId="0" fontId="36" fillId="0" borderId="0" xfId="75" applyFont="1" applyAlignment="1">
      <alignment horizontal="left" vertical="center" wrapText="1"/>
      <protection/>
    </xf>
    <xf numFmtId="0" fontId="7" fillId="0" borderId="0" xfId="75">
      <alignment/>
      <protection/>
    </xf>
    <xf numFmtId="0" fontId="46" fillId="0" borderId="0" xfId="74" applyFont="1" applyBorder="1" applyAlignment="1">
      <alignment horizontal="left" vertical="center"/>
      <protection/>
    </xf>
    <xf numFmtId="0" fontId="40" fillId="0" borderId="0" xfId="74" applyFont="1" applyBorder="1" applyAlignment="1">
      <alignment vertical="center" wrapText="1"/>
      <protection/>
    </xf>
    <xf numFmtId="0" fontId="31" fillId="0" borderId="0" xfId="76" applyFont="1" applyBorder="1" applyAlignment="1">
      <alignment/>
      <protection/>
    </xf>
    <xf numFmtId="0" fontId="4" fillId="0" borderId="0" xfId="76" applyFont="1">
      <alignment/>
      <protection/>
    </xf>
    <xf numFmtId="0" fontId="35" fillId="0" borderId="0" xfId="76" applyFont="1">
      <alignment/>
      <protection/>
    </xf>
    <xf numFmtId="0" fontId="50" fillId="0" borderId="0" xfId="76" applyFont="1" applyBorder="1" applyAlignment="1">
      <alignment vertical="center" wrapText="1"/>
      <protection/>
    </xf>
    <xf numFmtId="0" fontId="10" fillId="0" borderId="0" xfId="76" applyFont="1" applyBorder="1" applyAlignment="1">
      <alignment horizontal="left" vertical="center"/>
      <protection/>
    </xf>
    <xf numFmtId="0" fontId="10" fillId="0" borderId="21" xfId="76" applyFont="1" applyBorder="1" applyAlignment="1">
      <alignment vertical="center"/>
      <protection/>
    </xf>
    <xf numFmtId="0" fontId="20" fillId="0" borderId="0" xfId="76" applyFont="1" applyAlignment="1">
      <alignment vertical="center" wrapText="1"/>
      <protection/>
    </xf>
    <xf numFmtId="0" fontId="10" fillId="0" borderId="0" xfId="76" applyFont="1" applyAlignment="1">
      <alignment horizontal="left" vertical="center"/>
      <protection/>
    </xf>
    <xf numFmtId="0" fontId="8" fillId="0" borderId="0" xfId="76" applyFont="1" applyBorder="1" applyAlignment="1">
      <alignment vertical="center" wrapText="1"/>
      <protection/>
    </xf>
    <xf numFmtId="0" fontId="10" fillId="0" borderId="21" xfId="76" applyFont="1" applyBorder="1" applyAlignment="1">
      <alignment vertical="center" wrapText="1"/>
      <protection/>
    </xf>
    <xf numFmtId="0" fontId="51" fillId="0" borderId="0" xfId="76" applyFont="1" applyAlignment="1">
      <alignment horizontal="left" vertical="center"/>
      <protection/>
    </xf>
    <xf numFmtId="0" fontId="28" fillId="0" borderId="0" xfId="76" applyFont="1" applyBorder="1" applyAlignment="1">
      <alignment/>
      <protection/>
    </xf>
    <xf numFmtId="0" fontId="35" fillId="0" borderId="0" xfId="76" applyFont="1" applyBorder="1" applyAlignment="1">
      <alignment vertical="center"/>
      <protection/>
    </xf>
    <xf numFmtId="0" fontId="37" fillId="0" borderId="0" xfId="76" applyFont="1" applyBorder="1" applyAlignment="1">
      <alignment/>
      <protection/>
    </xf>
    <xf numFmtId="0" fontId="50" fillId="0" borderId="0" xfId="76" applyFont="1" applyBorder="1" applyAlignment="1">
      <alignment vertical="center"/>
      <protection/>
    </xf>
    <xf numFmtId="0" fontId="43" fillId="0" borderId="0" xfId="76" applyFont="1" applyBorder="1" applyAlignment="1">
      <alignment horizontal="left" vertical="center"/>
      <protection/>
    </xf>
    <xf numFmtId="0" fontId="35" fillId="0" borderId="0" xfId="76" applyFont="1" applyBorder="1" applyAlignment="1">
      <alignment vertical="center" wrapText="1"/>
      <protection/>
    </xf>
    <xf numFmtId="0" fontId="33" fillId="0" borderId="0" xfId="76" applyFont="1" applyBorder="1" applyAlignment="1">
      <alignment vertical="center" wrapText="1"/>
      <protection/>
    </xf>
    <xf numFmtId="0" fontId="52" fillId="0" borderId="0" xfId="76" applyFont="1" applyAlignment="1">
      <alignment horizontal="left" vertical="center"/>
      <protection/>
    </xf>
    <xf numFmtId="0" fontId="5" fillId="0" borderId="0" xfId="76" applyFont="1" applyAlignment="1">
      <alignment vertical="center" wrapText="1"/>
      <protection/>
    </xf>
    <xf numFmtId="0" fontId="43" fillId="0" borderId="0" xfId="76" applyFont="1" applyAlignment="1">
      <alignment horizontal="left" vertical="center"/>
      <protection/>
    </xf>
    <xf numFmtId="0" fontId="11" fillId="0" borderId="0" xfId="76" applyFont="1" applyBorder="1" applyAlignment="1">
      <alignment vertical="center" wrapText="1"/>
      <protection/>
    </xf>
    <xf numFmtId="0" fontId="4" fillId="0" borderId="0" xfId="76" applyFont="1" applyAlignment="1">
      <alignment vertical="center" wrapText="1"/>
      <protection/>
    </xf>
    <xf numFmtId="0" fontId="53" fillId="0" borderId="0" xfId="76" applyFont="1" applyAlignment="1">
      <alignment vertical="center" wrapText="1"/>
      <protection/>
    </xf>
    <xf numFmtId="0" fontId="10" fillId="0" borderId="0" xfId="76" applyFont="1" applyAlignment="1">
      <alignment vertical="center" wrapText="1"/>
      <protection/>
    </xf>
    <xf numFmtId="0" fontId="10" fillId="0" borderId="0" xfId="76" applyFont="1" applyBorder="1" applyAlignment="1">
      <alignment horizontal="left" vertical="center" wrapText="1"/>
      <protection/>
    </xf>
    <xf numFmtId="49" fontId="10" fillId="0" borderId="21" xfId="74" applyNumberFormat="1" applyFont="1" applyBorder="1">
      <alignment/>
      <protection/>
    </xf>
    <xf numFmtId="0" fontId="24" fillId="0" borderId="0" xfId="74" applyFont="1" applyAlignment="1">
      <alignment horizontal="left"/>
      <protection/>
    </xf>
    <xf numFmtId="0" fontId="26" fillId="0" borderId="0" xfId="74" applyFont="1">
      <alignment/>
      <protection/>
    </xf>
    <xf numFmtId="0" fontId="24" fillId="0" borderId="0" xfId="67" applyFont="1" applyAlignment="1">
      <alignment horizontal="left"/>
      <protection/>
    </xf>
    <xf numFmtId="0" fontId="25" fillId="0" borderId="0" xfId="67" applyFont="1" applyAlignment="1">
      <alignment horizontal="left"/>
      <protection/>
    </xf>
    <xf numFmtId="0" fontId="54" fillId="0" borderId="0" xfId="67" applyFont="1">
      <alignment/>
      <protection/>
    </xf>
    <xf numFmtId="0" fontId="7" fillId="0" borderId="0" xfId="67">
      <alignment/>
      <protection/>
    </xf>
    <xf numFmtId="0" fontId="8" fillId="0" borderId="0" xfId="67" applyFont="1" applyBorder="1" applyAlignment="1">
      <alignment horizontal="left" vertical="center"/>
      <protection/>
    </xf>
    <xf numFmtId="0" fontId="35" fillId="0" borderId="0" xfId="67" applyFont="1" applyBorder="1" applyAlignment="1">
      <alignment horizontal="left" vertical="center"/>
      <protection/>
    </xf>
    <xf numFmtId="0" fontId="40" fillId="0" borderId="27" xfId="67" applyFont="1" applyBorder="1" applyAlignment="1">
      <alignment vertical="center"/>
      <protection/>
    </xf>
    <xf numFmtId="0" fontId="13" fillId="0" borderId="27" xfId="67" applyFont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32" fillId="0" borderId="0" xfId="67" applyFont="1" applyAlignment="1">
      <alignment vertical="center"/>
      <protection/>
    </xf>
    <xf numFmtId="0" fontId="36" fillId="0" borderId="0" xfId="67" applyFont="1" applyBorder="1" applyAlignment="1">
      <alignment horizontal="left" vertical="center"/>
      <protection/>
    </xf>
    <xf numFmtId="0" fontId="19" fillId="0" borderId="0" xfId="67" applyFont="1" applyBorder="1" applyAlignment="1">
      <alignment horizontal="left" vertical="center"/>
      <protection/>
    </xf>
    <xf numFmtId="0" fontId="34" fillId="0" borderId="28" xfId="67" applyFont="1" applyBorder="1" applyAlignment="1">
      <alignment vertical="center"/>
      <protection/>
    </xf>
    <xf numFmtId="0" fontId="19" fillId="0" borderId="0" xfId="67" applyFont="1" applyAlignment="1">
      <alignment vertical="center"/>
      <protection/>
    </xf>
    <xf numFmtId="0" fontId="25" fillId="0" borderId="0" xfId="67" applyFont="1" applyAlignment="1">
      <alignment vertical="center"/>
      <protection/>
    </xf>
    <xf numFmtId="0" fontId="34" fillId="0" borderId="29" xfId="67" applyFont="1" applyBorder="1" applyAlignment="1">
      <alignment vertical="center"/>
      <protection/>
    </xf>
    <xf numFmtId="0" fontId="55" fillId="0" borderId="0" xfId="67" applyFont="1" applyBorder="1" applyAlignment="1">
      <alignment vertical="center"/>
      <protection/>
    </xf>
    <xf numFmtId="0" fontId="19" fillId="0" borderId="0" xfId="67" applyFont="1" applyBorder="1" applyAlignment="1">
      <alignment vertical="center"/>
      <protection/>
    </xf>
    <xf numFmtId="0" fontId="25" fillId="0" borderId="0" xfId="67" applyFont="1" applyBorder="1" applyAlignment="1">
      <alignment vertical="center"/>
      <protection/>
    </xf>
    <xf numFmtId="0" fontId="34" fillId="0" borderId="30" xfId="67" applyFont="1" applyBorder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32" fillId="0" borderId="0" xfId="67" applyFont="1" applyBorder="1" applyAlignment="1">
      <alignment vertical="center"/>
      <protection/>
    </xf>
    <xf numFmtId="0" fontId="34" fillId="0" borderId="31" xfId="67" applyFont="1" applyBorder="1" applyAlignment="1">
      <alignment vertical="center"/>
      <protection/>
    </xf>
    <xf numFmtId="0" fontId="34" fillId="0" borderId="0" xfId="67" applyFont="1" applyBorder="1" applyAlignment="1">
      <alignment vertical="center"/>
      <protection/>
    </xf>
    <xf numFmtId="0" fontId="34" fillId="0" borderId="32" xfId="67" applyFont="1" applyBorder="1" applyAlignment="1">
      <alignment vertical="center"/>
      <protection/>
    </xf>
    <xf numFmtId="0" fontId="34" fillId="0" borderId="33" xfId="67" applyFont="1" applyBorder="1" applyAlignment="1">
      <alignment vertical="center"/>
      <protection/>
    </xf>
    <xf numFmtId="0" fontId="34" fillId="0" borderId="0" xfId="67" applyFont="1" applyAlignment="1">
      <alignment horizontal="left"/>
      <protection/>
    </xf>
    <xf numFmtId="0" fontId="4" fillId="0" borderId="0" xfId="67" applyFont="1">
      <alignment/>
      <protection/>
    </xf>
    <xf numFmtId="0" fontId="34" fillId="0" borderId="0" xfId="67" applyFont="1" applyBorder="1">
      <alignment/>
      <protection/>
    </xf>
    <xf numFmtId="0" fontId="34" fillId="0" borderId="34" xfId="67" applyFont="1" applyBorder="1" applyAlignment="1">
      <alignment vertical="center"/>
      <protection/>
    </xf>
    <xf numFmtId="0" fontId="51" fillId="0" borderId="0" xfId="67" applyFont="1" applyBorder="1" applyAlignment="1">
      <alignment horizontal="left" vertical="center"/>
      <protection/>
    </xf>
    <xf numFmtId="0" fontId="46" fillId="0" borderId="0" xfId="67" applyFont="1" applyBorder="1" applyAlignment="1">
      <alignment vertical="center"/>
      <protection/>
    </xf>
    <xf numFmtId="0" fontId="19" fillId="0" borderId="0" xfId="67" applyFont="1" applyAlignment="1">
      <alignment horizontal="left"/>
      <protection/>
    </xf>
    <xf numFmtId="0" fontId="22" fillId="33" borderId="34" xfId="67" applyFont="1" applyFill="1" applyBorder="1" applyAlignment="1">
      <alignment vertical="center" wrapText="1"/>
      <protection/>
    </xf>
    <xf numFmtId="0" fontId="46" fillId="33" borderId="0" xfId="67" applyFont="1" applyFill="1" applyBorder="1" applyAlignment="1">
      <alignment vertical="center"/>
      <protection/>
    </xf>
    <xf numFmtId="168" fontId="51" fillId="33" borderId="0" xfId="67" applyNumberFormat="1" applyFont="1" applyFill="1" applyAlignment="1">
      <alignment horizontal="center"/>
      <protection/>
    </xf>
    <xf numFmtId="0" fontId="52" fillId="0" borderId="0" xfId="67" applyFont="1" applyBorder="1" applyAlignment="1">
      <alignment horizontal="left" vertical="center"/>
      <protection/>
    </xf>
    <xf numFmtId="0" fontId="18" fillId="0" borderId="0" xfId="67" applyFont="1" applyBorder="1" applyAlignment="1">
      <alignment horizontal="left" vertical="center"/>
      <protection/>
    </xf>
    <xf numFmtId="0" fontId="56" fillId="0" borderId="31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7" fillId="0" borderId="0" xfId="67" applyFont="1" applyBorder="1" applyAlignment="1">
      <alignment vertical="center"/>
      <protection/>
    </xf>
    <xf numFmtId="0" fontId="58" fillId="0" borderId="0" xfId="68" applyFont="1" applyAlignment="1">
      <alignment horizontal="left"/>
      <protection/>
    </xf>
    <xf numFmtId="0" fontId="59" fillId="0" borderId="0" xfId="68" applyFont="1" applyAlignment="1">
      <alignment horizontal="left"/>
      <protection/>
    </xf>
    <xf numFmtId="0" fontId="60" fillId="0" borderId="0" xfId="68" applyFont="1">
      <alignment/>
      <protection/>
    </xf>
    <xf numFmtId="0" fontId="61" fillId="0" borderId="0" xfId="68" applyFont="1">
      <alignment/>
      <protection/>
    </xf>
    <xf numFmtId="0" fontId="8" fillId="0" borderId="0" xfId="68" applyFont="1" applyBorder="1" applyAlignment="1">
      <alignment horizontal="left" vertical="center"/>
      <protection/>
    </xf>
    <xf numFmtId="0" fontId="62" fillId="0" borderId="0" xfId="68" applyFont="1" applyBorder="1" applyAlignment="1">
      <alignment horizontal="left" vertical="center"/>
      <protection/>
    </xf>
    <xf numFmtId="0" fontId="60" fillId="0" borderId="0" xfId="68" applyFont="1" applyBorder="1">
      <alignment/>
      <protection/>
    </xf>
    <xf numFmtId="0" fontId="63" fillId="0" borderId="0" xfId="68" applyFont="1" applyBorder="1" applyAlignment="1">
      <alignment vertical="center"/>
      <protection/>
    </xf>
    <xf numFmtId="0" fontId="36" fillId="0" borderId="0" xfId="68" applyFont="1" applyBorder="1" applyAlignment="1">
      <alignment horizontal="left" vertical="center"/>
      <protection/>
    </xf>
    <xf numFmtId="0" fontId="34" fillId="0" borderId="0" xfId="68" applyFont="1" applyBorder="1" applyAlignment="1">
      <alignment horizontal="left" vertical="center"/>
      <protection/>
    </xf>
    <xf numFmtId="0" fontId="34" fillId="0" borderId="28" xfId="68" applyFont="1" applyBorder="1" applyAlignment="1">
      <alignment vertical="center"/>
      <protection/>
    </xf>
    <xf numFmtId="0" fontId="34" fillId="0" borderId="32" xfId="68" applyFont="1" applyBorder="1" applyAlignment="1">
      <alignment vertical="center"/>
      <protection/>
    </xf>
    <xf numFmtId="0" fontId="34" fillId="0" borderId="30" xfId="68" applyFont="1" applyBorder="1" applyAlignment="1">
      <alignment vertical="center"/>
      <protection/>
    </xf>
    <xf numFmtId="0" fontId="64" fillId="0" borderId="27" xfId="68" applyFont="1" applyBorder="1" applyAlignment="1">
      <alignment vertical="center"/>
      <protection/>
    </xf>
    <xf numFmtId="0" fontId="34" fillId="0" borderId="31" xfId="68" applyFont="1" applyBorder="1" applyAlignment="1">
      <alignment vertical="center"/>
      <protection/>
    </xf>
    <xf numFmtId="0" fontId="65" fillId="0" borderId="0" xfId="68" applyFont="1" applyBorder="1" applyAlignment="1">
      <alignment horizontal="left" vertical="center"/>
      <protection/>
    </xf>
    <xf numFmtId="0" fontId="59" fillId="0" borderId="0" xfId="68" applyFont="1" applyBorder="1" applyAlignment="1">
      <alignment horizontal="left" vertical="center"/>
      <protection/>
    </xf>
    <xf numFmtId="0" fontId="60" fillId="0" borderId="0" xfId="68" applyFont="1" applyBorder="1" applyAlignment="1">
      <alignment vertical="center"/>
      <protection/>
    </xf>
    <xf numFmtId="0" fontId="34" fillId="0" borderId="33" xfId="68" applyFont="1" applyBorder="1" applyAlignment="1">
      <alignment vertical="center"/>
      <protection/>
    </xf>
    <xf numFmtId="0" fontId="34" fillId="0" borderId="0" xfId="68" applyFont="1" applyBorder="1" applyAlignment="1">
      <alignment vertical="center"/>
      <protection/>
    </xf>
    <xf numFmtId="0" fontId="34" fillId="0" borderId="34" xfId="68" applyFont="1" applyBorder="1" applyAlignment="1">
      <alignment vertical="center"/>
      <protection/>
    </xf>
    <xf numFmtId="0" fontId="19" fillId="0" borderId="0" xfId="68" applyFont="1" applyAlignment="1">
      <alignment horizontal="left"/>
      <protection/>
    </xf>
    <xf numFmtId="0" fontId="22" fillId="33" borderId="34" xfId="68" applyFont="1" applyFill="1" applyBorder="1" applyAlignment="1">
      <alignment vertical="center" wrapText="1"/>
      <protection/>
    </xf>
    <xf numFmtId="0" fontId="4" fillId="0" borderId="0" xfId="68" applyFont="1">
      <alignment/>
      <protection/>
    </xf>
    <xf numFmtId="0" fontId="7" fillId="0" borderId="0" xfId="68">
      <alignment/>
      <protection/>
    </xf>
    <xf numFmtId="0" fontId="60" fillId="33" borderId="0" xfId="68" applyFont="1" applyFill="1" applyBorder="1" applyAlignment="1">
      <alignment vertical="center"/>
      <protection/>
    </xf>
    <xf numFmtId="0" fontId="66" fillId="0" borderId="0" xfId="68" applyFont="1" applyBorder="1" applyAlignment="1">
      <alignment horizontal="left" vertical="center"/>
      <protection/>
    </xf>
    <xf numFmtId="0" fontId="67" fillId="0" borderId="0" xfId="68" applyFont="1" applyBorder="1" applyAlignment="1">
      <alignment horizontal="left" vertical="center"/>
      <protection/>
    </xf>
    <xf numFmtId="0" fontId="56" fillId="0" borderId="31" xfId="68" applyFont="1" applyBorder="1" applyAlignment="1">
      <alignment vertical="center"/>
      <protection/>
    </xf>
    <xf numFmtId="0" fontId="7" fillId="0" borderId="0" xfId="77">
      <alignment/>
      <protection/>
    </xf>
    <xf numFmtId="0" fontId="30" fillId="0" borderId="0" xfId="77" applyFont="1" applyBorder="1" applyAlignment="1">
      <alignment horizontal="center" vertical="center" wrapText="1"/>
      <protection/>
    </xf>
    <xf numFmtId="0" fontId="7" fillId="0" borderId="0" xfId="77" applyAlignment="1">
      <alignment vertical="center"/>
      <protection/>
    </xf>
    <xf numFmtId="0" fontId="25" fillId="0" borderId="0" xfId="77" applyFont="1" applyAlignment="1">
      <alignment vertical="center"/>
      <protection/>
    </xf>
    <xf numFmtId="0" fontId="32" fillId="0" borderId="0" xfId="77" applyFont="1" applyAlignment="1">
      <alignment vertical="center"/>
      <protection/>
    </xf>
    <xf numFmtId="49" fontId="13" fillId="0" borderId="35" xfId="77" applyNumberFormat="1" applyFont="1" applyBorder="1" applyAlignment="1">
      <alignment vertical="center"/>
      <protection/>
    </xf>
    <xf numFmtId="49" fontId="13" fillId="0" borderId="36" xfId="77" applyNumberFormat="1" applyFont="1" applyBorder="1" applyAlignment="1">
      <alignment vertical="center"/>
      <protection/>
    </xf>
    <xf numFmtId="49" fontId="13" fillId="0" borderId="37" xfId="77" applyNumberFormat="1" applyFont="1" applyBorder="1" applyAlignment="1">
      <alignment vertical="center"/>
      <protection/>
    </xf>
    <xf numFmtId="0" fontId="26" fillId="0" borderId="0" xfId="77" applyFont="1" applyAlignment="1">
      <alignment horizontal="left" vertical="center"/>
      <protection/>
    </xf>
    <xf numFmtId="0" fontId="26" fillId="0" borderId="0" xfId="77" applyFont="1">
      <alignment/>
      <protection/>
    </xf>
    <xf numFmtId="0" fontId="7" fillId="0" borderId="0" xfId="77" applyBorder="1">
      <alignment/>
      <protection/>
    </xf>
    <xf numFmtId="0" fontId="10" fillId="0" borderId="23" xfId="70" applyFont="1" applyBorder="1" applyAlignment="1">
      <alignment vertical="center"/>
      <protection/>
    </xf>
    <xf numFmtId="0" fontId="7" fillId="0" borderId="38" xfId="70" applyBorder="1" applyAlignment="1">
      <alignment horizontal="left"/>
      <protection/>
    </xf>
    <xf numFmtId="0" fontId="36" fillId="0" borderId="24" xfId="74" applyFont="1" applyBorder="1" applyAlignment="1">
      <alignment horizontal="left" vertical="center" wrapText="1"/>
      <protection/>
    </xf>
    <xf numFmtId="4" fontId="13" fillId="0" borderId="39" xfId="74" applyNumberFormat="1" applyFont="1" applyBorder="1" applyAlignment="1">
      <alignment vertical="center" wrapText="1"/>
      <protection/>
    </xf>
    <xf numFmtId="4" fontId="13" fillId="0" borderId="0" xfId="74" applyNumberFormat="1" applyFont="1" applyBorder="1" applyAlignment="1">
      <alignment vertical="center" wrapText="1"/>
      <protection/>
    </xf>
    <xf numFmtId="0" fontId="49" fillId="0" borderId="24" xfId="75" applyFont="1" applyBorder="1">
      <alignment/>
      <protection/>
    </xf>
    <xf numFmtId="0" fontId="49" fillId="0" borderId="40" xfId="75" applyFont="1" applyBorder="1">
      <alignment/>
      <protection/>
    </xf>
    <xf numFmtId="0" fontId="34" fillId="0" borderId="24" xfId="75" applyFont="1" applyBorder="1" applyAlignment="1">
      <alignment vertical="center"/>
      <protection/>
    </xf>
    <xf numFmtId="0" fontId="23" fillId="0" borderId="24" xfId="76" applyFont="1" applyBorder="1" applyAlignment="1">
      <alignment/>
      <protection/>
    </xf>
    <xf numFmtId="0" fontId="23" fillId="0" borderId="27" xfId="76" applyFont="1" applyBorder="1" applyAlignment="1">
      <alignment/>
      <protection/>
    </xf>
    <xf numFmtId="0" fontId="23" fillId="0" borderId="26" xfId="76" applyFont="1" applyBorder="1" applyAlignment="1">
      <alignment/>
      <protection/>
    </xf>
    <xf numFmtId="0" fontId="7" fillId="0" borderId="0" xfId="74" applyBorder="1">
      <alignment/>
      <protection/>
    </xf>
    <xf numFmtId="0" fontId="19" fillId="0" borderId="0" xfId="78" applyFont="1" applyBorder="1" applyAlignment="1">
      <alignment vertical="center"/>
      <protection/>
    </xf>
    <xf numFmtId="2" fontId="19" fillId="0" borderId="0" xfId="78" applyNumberFormat="1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42" xfId="0" applyFont="1" applyBorder="1" applyAlignment="1">
      <alignment/>
    </xf>
    <xf numFmtId="2" fontId="18" fillId="0" borderId="0" xfId="79" applyNumberFormat="1" applyFont="1" applyBorder="1" applyAlignment="1">
      <alignment vertical="center"/>
      <protection/>
    </xf>
    <xf numFmtId="2" fontId="19" fillId="0" borderId="0" xfId="79" applyNumberFormat="1" applyFont="1" applyBorder="1" applyAlignment="1">
      <alignment vertical="center"/>
      <protection/>
    </xf>
    <xf numFmtId="0" fontId="10" fillId="0" borderId="36" xfId="71" applyFont="1" applyBorder="1" applyAlignment="1">
      <alignment horizontal="left" vertical="center" wrapText="1"/>
      <protection/>
    </xf>
    <xf numFmtId="0" fontId="10" fillId="0" borderId="36" xfId="71" applyFont="1" applyBorder="1" applyAlignment="1">
      <alignment horizontal="left" vertical="center"/>
      <protection/>
    </xf>
    <xf numFmtId="0" fontId="10" fillId="0" borderId="36" xfId="72" applyFont="1" applyBorder="1" applyAlignment="1">
      <alignment horizontal="left" vertical="center" wrapText="1"/>
      <protection/>
    </xf>
    <xf numFmtId="49" fontId="10" fillId="0" borderId="36" xfId="72" applyNumberFormat="1" applyFont="1" applyBorder="1" applyAlignment="1">
      <alignment horizontal="left" vertical="center" wrapText="1"/>
      <protection/>
    </xf>
    <xf numFmtId="0" fontId="10" fillId="0" borderId="36" xfId="70" applyFont="1" applyBorder="1" applyAlignment="1">
      <alignment horizontal="left" vertical="center"/>
      <protection/>
    </xf>
    <xf numFmtId="0" fontId="10" fillId="0" borderId="36" xfId="70" applyFont="1" applyBorder="1" applyAlignment="1">
      <alignment horizontal="left" vertical="center" wrapText="1"/>
      <protection/>
    </xf>
    <xf numFmtId="0" fontId="10" fillId="0" borderId="36" xfId="69" applyFont="1" applyBorder="1" applyAlignment="1">
      <alignment horizontal="left" vertical="top"/>
      <protection/>
    </xf>
    <xf numFmtId="0" fontId="10" fillId="0" borderId="36" xfId="69" applyFont="1" applyBorder="1" applyAlignment="1">
      <alignment horizontal="left" vertical="top" wrapText="1"/>
      <protection/>
    </xf>
    <xf numFmtId="0" fontId="10" fillId="0" borderId="36" xfId="72" applyFont="1" applyBorder="1" applyAlignment="1">
      <alignment horizontal="left" vertical="top" wrapText="1"/>
      <protection/>
    </xf>
    <xf numFmtId="0" fontId="10" fillId="0" borderId="36" xfId="73" applyFont="1" applyBorder="1" applyAlignment="1">
      <alignment horizontal="left" vertical="center" wrapText="1"/>
      <protection/>
    </xf>
    <xf numFmtId="0" fontId="10" fillId="0" borderId="36" xfId="73" applyFont="1" applyBorder="1" applyAlignment="1">
      <alignment horizontal="left" vertical="top" wrapText="1"/>
      <protection/>
    </xf>
    <xf numFmtId="4" fontId="18" fillId="0" borderId="0" xfId="74" applyNumberFormat="1" applyFont="1" applyBorder="1" applyAlignment="1">
      <alignment vertical="center" wrapText="1"/>
      <protection/>
    </xf>
    <xf numFmtId="0" fontId="10" fillId="0" borderId="36" xfId="74" applyFont="1" applyBorder="1" applyAlignment="1">
      <alignment horizontal="left" vertical="top" wrapText="1"/>
      <protection/>
    </xf>
    <xf numFmtId="0" fontId="10" fillId="0" borderId="36" xfId="74" applyFont="1" applyBorder="1" applyAlignment="1">
      <alignment horizontal="left" vertical="center" wrapText="1"/>
      <protection/>
    </xf>
    <xf numFmtId="0" fontId="10" fillId="0" borderId="36" xfId="75" applyFont="1" applyBorder="1" applyAlignment="1">
      <alignment horizontal="left" vertical="center" wrapText="1"/>
      <protection/>
    </xf>
    <xf numFmtId="0" fontId="10" fillId="0" borderId="36" xfId="75" applyFont="1" applyBorder="1" applyAlignment="1">
      <alignment horizontal="left" vertical="center"/>
      <protection/>
    </xf>
    <xf numFmtId="0" fontId="10" fillId="0" borderId="36" xfId="76" applyFont="1" applyBorder="1" applyAlignment="1">
      <alignment horizontal="left" vertical="center"/>
      <protection/>
    </xf>
    <xf numFmtId="0" fontId="51" fillId="0" borderId="0" xfId="76" applyFont="1" applyBorder="1" applyAlignment="1">
      <alignment horizontal="left" vertical="center"/>
      <protection/>
    </xf>
    <xf numFmtId="49" fontId="10" fillId="0" borderId="36" xfId="74" applyNumberFormat="1" applyFont="1" applyBorder="1" applyAlignment="1">
      <alignment horizontal="left"/>
      <protection/>
    </xf>
    <xf numFmtId="2" fontId="19" fillId="0" borderId="0" xfId="68" applyNumberFormat="1" applyFont="1" applyBorder="1" applyAlignment="1">
      <alignment horizontal="right" vertical="center"/>
      <protection/>
    </xf>
    <xf numFmtId="2" fontId="19" fillId="0" borderId="27" xfId="68" applyNumberFormat="1" applyFont="1" applyBorder="1" applyAlignment="1">
      <alignment horizontal="right" vertical="center"/>
      <protection/>
    </xf>
    <xf numFmtId="0" fontId="11" fillId="0" borderId="0" xfId="77" applyFont="1" applyBorder="1" applyAlignment="1">
      <alignment horizontal="center" vertical="center" wrapText="1"/>
      <protection/>
    </xf>
    <xf numFmtId="0" fontId="35" fillId="0" borderId="0" xfId="77" applyFont="1">
      <alignment/>
      <protection/>
    </xf>
    <xf numFmtId="0" fontId="11" fillId="0" borderId="0" xfId="77" applyFont="1" applyBorder="1" applyAlignment="1">
      <alignment horizontal="left" vertical="center"/>
      <protection/>
    </xf>
    <xf numFmtId="0" fontId="8" fillId="0" borderId="0" xfId="77" applyFont="1" applyFill="1" applyBorder="1" applyAlignment="1">
      <alignment horizontal="center" vertical="center" wrapText="1"/>
      <protection/>
    </xf>
    <xf numFmtId="0" fontId="19" fillId="0" borderId="0" xfId="77" applyFont="1" applyBorder="1" applyAlignment="1">
      <alignment vertical="center"/>
      <protection/>
    </xf>
    <xf numFmtId="0" fontId="10" fillId="0" borderId="43" xfId="77" applyFont="1" applyBorder="1" applyAlignment="1">
      <alignment horizontal="left" vertical="center"/>
      <protection/>
    </xf>
    <xf numFmtId="0" fontId="16" fillId="0" borderId="34" xfId="77" applyFont="1" applyBorder="1" applyAlignment="1">
      <alignment horizontal="left" vertical="center"/>
      <protection/>
    </xf>
    <xf numFmtId="0" fontId="16" fillId="0" borderId="44" xfId="77" applyFont="1" applyBorder="1" applyAlignment="1">
      <alignment horizontal="left" vertical="center"/>
      <protection/>
    </xf>
    <xf numFmtId="0" fontId="16" fillId="0" borderId="44" xfId="77" applyFont="1" applyBorder="1" applyAlignment="1">
      <alignment vertical="center"/>
      <protection/>
    </xf>
    <xf numFmtId="0" fontId="16" fillId="0" borderId="34" xfId="77" applyFont="1" applyBorder="1" applyAlignment="1">
      <alignment vertical="center"/>
      <protection/>
    </xf>
    <xf numFmtId="0" fontId="19" fillId="0" borderId="31" xfId="77" applyFont="1" applyBorder="1" applyAlignment="1">
      <alignment vertical="center"/>
      <protection/>
    </xf>
    <xf numFmtId="0" fontId="10" fillId="0" borderId="45" xfId="77" applyFont="1" applyBorder="1" applyAlignment="1">
      <alignment vertical="center"/>
      <protection/>
    </xf>
    <xf numFmtId="0" fontId="10" fillId="0" borderId="38" xfId="77" applyFont="1" applyBorder="1" applyAlignment="1">
      <alignment vertical="center"/>
      <protection/>
    </xf>
    <xf numFmtId="0" fontId="10" fillId="0" borderId="29" xfId="77" applyFont="1" applyBorder="1" applyAlignment="1">
      <alignment vertical="center"/>
      <protection/>
    </xf>
    <xf numFmtId="0" fontId="16" fillId="0" borderId="46" xfId="77" applyFont="1" applyBorder="1" applyAlignment="1">
      <alignment vertical="center"/>
      <protection/>
    </xf>
    <xf numFmtId="0" fontId="16" fillId="0" borderId="45" xfId="77" applyFont="1" applyBorder="1" applyAlignment="1">
      <alignment horizontal="left" vertical="center"/>
      <protection/>
    </xf>
    <xf numFmtId="0" fontId="45" fillId="0" borderId="47" xfId="77" applyFont="1" applyBorder="1" applyAlignment="1">
      <alignment vertical="center"/>
      <protection/>
    </xf>
    <xf numFmtId="0" fontId="45" fillId="0" borderId="29" xfId="77" applyFont="1" applyBorder="1" applyAlignment="1">
      <alignment vertical="center"/>
      <protection/>
    </xf>
    <xf numFmtId="0" fontId="45" fillId="0" borderId="48" xfId="77" applyFont="1" applyBorder="1" applyAlignment="1">
      <alignment vertical="center"/>
      <protection/>
    </xf>
    <xf numFmtId="0" fontId="10" fillId="0" borderId="48" xfId="77" applyFont="1" applyBorder="1" applyAlignment="1">
      <alignment vertical="center"/>
      <protection/>
    </xf>
    <xf numFmtId="0" fontId="70" fillId="0" borderId="0" xfId="70" applyFont="1" applyBorder="1" applyAlignment="1">
      <alignment/>
      <protection/>
    </xf>
    <xf numFmtId="0" fontId="19" fillId="0" borderId="0" xfId="70" applyFont="1" applyBorder="1" applyAlignment="1">
      <alignment/>
      <protection/>
    </xf>
    <xf numFmtId="0" fontId="35" fillId="0" borderId="0" xfId="70" applyFont="1" applyBorder="1" applyAlignment="1">
      <alignment/>
      <protection/>
    </xf>
    <xf numFmtId="0" fontId="55" fillId="0" borderId="0" xfId="74" applyFont="1" applyAlignment="1">
      <alignment horizontal="left"/>
      <protection/>
    </xf>
    <xf numFmtId="0" fontId="35" fillId="0" borderId="0" xfId="74" applyFont="1">
      <alignment/>
      <protection/>
    </xf>
    <xf numFmtId="49" fontId="10" fillId="0" borderId="24" xfId="74" applyNumberFormat="1" applyFont="1" applyBorder="1" applyAlignment="1">
      <alignment horizontal="left"/>
      <protection/>
    </xf>
    <xf numFmtId="0" fontId="55" fillId="0" borderId="0" xfId="70" applyFont="1" applyAlignment="1">
      <alignment horizontal="right"/>
      <protection/>
    </xf>
    <xf numFmtId="0" fontId="19" fillId="0" borderId="0" xfId="70" applyFont="1" applyAlignment="1">
      <alignment horizontal="left"/>
      <protection/>
    </xf>
    <xf numFmtId="0" fontId="4" fillId="0" borderId="0" xfId="70" applyFont="1">
      <alignment/>
      <protection/>
    </xf>
    <xf numFmtId="0" fontId="35" fillId="0" borderId="0" xfId="70" applyFont="1">
      <alignment/>
      <protection/>
    </xf>
    <xf numFmtId="0" fontId="50" fillId="0" borderId="0" xfId="70" applyFont="1" applyBorder="1" applyAlignment="1">
      <alignment horizontal="left" vertical="center"/>
      <protection/>
    </xf>
    <xf numFmtId="0" fontId="19" fillId="0" borderId="0" xfId="70" applyFont="1" applyBorder="1" applyAlignment="1">
      <alignment horizontal="left" vertical="center"/>
      <protection/>
    </xf>
    <xf numFmtId="0" fontId="40" fillId="0" borderId="0" xfId="70" applyFont="1" applyBorder="1" applyAlignment="1">
      <alignment vertical="center"/>
      <protection/>
    </xf>
    <xf numFmtId="4" fontId="18" fillId="0" borderId="40" xfId="70" applyNumberFormat="1" applyFont="1" applyBorder="1" applyAlignment="1">
      <alignment horizontal="center" vertical="center"/>
      <protection/>
    </xf>
    <xf numFmtId="0" fontId="42" fillId="0" borderId="0" xfId="72" applyFont="1" applyAlignment="1">
      <alignment horizontal="left" vertical="center" wrapText="1"/>
      <protection/>
    </xf>
    <xf numFmtId="0" fontId="40" fillId="0" borderId="0" xfId="72" applyFont="1" applyBorder="1" applyAlignment="1">
      <alignment vertical="center"/>
      <protection/>
    </xf>
    <xf numFmtId="0" fontId="4" fillId="0" borderId="0" xfId="72" applyFont="1" applyBorder="1">
      <alignment/>
      <protection/>
    </xf>
    <xf numFmtId="0" fontId="22" fillId="0" borderId="0" xfId="70" applyFont="1" applyBorder="1" applyAlignment="1">
      <alignment horizontal="right" vertical="center" wrapText="1"/>
      <protection/>
    </xf>
    <xf numFmtId="0" fontId="8" fillId="0" borderId="0" xfId="70" applyFont="1" applyBorder="1" applyAlignment="1">
      <alignment horizontal="left" vertical="center" wrapText="1"/>
      <protection/>
    </xf>
    <xf numFmtId="0" fontId="11" fillId="0" borderId="0" xfId="70" applyFont="1" applyBorder="1" applyAlignment="1">
      <alignment horizontal="center" vertical="center" wrapText="1"/>
      <protection/>
    </xf>
    <xf numFmtId="0" fontId="16" fillId="0" borderId="0" xfId="70" applyFont="1" applyBorder="1" applyAlignment="1">
      <alignment horizontal="centerContinuous"/>
      <protection/>
    </xf>
    <xf numFmtId="0" fontId="28" fillId="0" borderId="0" xfId="70" applyFont="1" applyBorder="1" applyAlignment="1">
      <alignment horizontal="centerContinuous" vertical="center"/>
      <protection/>
    </xf>
    <xf numFmtId="0" fontId="8" fillId="0" borderId="0" xfId="70" applyFont="1" applyBorder="1" applyAlignment="1">
      <alignment horizontal="centerContinuous" vertical="center" wrapText="1"/>
      <protection/>
    </xf>
    <xf numFmtId="0" fontId="11" fillId="0" borderId="0" xfId="70" applyFont="1" applyBorder="1" applyAlignment="1">
      <alignment horizontal="centerContinuous" vertical="center" wrapText="1"/>
      <protection/>
    </xf>
    <xf numFmtId="0" fontId="35" fillId="0" borderId="0" xfId="70" applyFont="1" applyBorder="1" applyAlignment="1">
      <alignment horizontal="left" vertical="center"/>
      <protection/>
    </xf>
    <xf numFmtId="0" fontId="11" fillId="0" borderId="0" xfId="70" applyFont="1" applyBorder="1" applyAlignment="1">
      <alignment horizontal="left" vertical="center"/>
      <protection/>
    </xf>
    <xf numFmtId="0" fontId="34" fillId="0" borderId="20" xfId="70" applyFont="1" applyBorder="1" applyAlignment="1">
      <alignment horizontal="left" vertical="center"/>
      <protection/>
    </xf>
    <xf numFmtId="0" fontId="34" fillId="0" borderId="20" xfId="70" applyFont="1" applyBorder="1" applyAlignment="1">
      <alignment horizontal="left" vertical="center" wrapText="1"/>
      <protection/>
    </xf>
    <xf numFmtId="0" fontId="34" fillId="0" borderId="0" xfId="70" applyFont="1" applyBorder="1" applyAlignment="1">
      <alignment horizontal="left" vertical="center"/>
      <protection/>
    </xf>
    <xf numFmtId="0" fontId="20" fillId="0" borderId="0" xfId="70" applyFont="1" applyAlignment="1">
      <alignment vertical="center"/>
      <protection/>
    </xf>
    <xf numFmtId="0" fontId="34" fillId="0" borderId="26" xfId="70" applyFont="1" applyBorder="1" applyAlignment="1">
      <alignment vertical="center"/>
      <protection/>
    </xf>
    <xf numFmtId="0" fontId="20" fillId="0" borderId="0" xfId="70" applyFont="1" applyBorder="1" applyAlignment="1">
      <alignment horizontal="left" vertical="center"/>
      <protection/>
    </xf>
    <xf numFmtId="0" fontId="35" fillId="0" borderId="0" xfId="70" applyFont="1" applyBorder="1" applyAlignment="1">
      <alignment vertical="center"/>
      <protection/>
    </xf>
    <xf numFmtId="0" fontId="55" fillId="0" borderId="0" xfId="70" applyFont="1">
      <alignment/>
      <protection/>
    </xf>
    <xf numFmtId="49" fontId="55" fillId="0" borderId="36" xfId="70" applyNumberFormat="1" applyFont="1" applyBorder="1" applyAlignment="1">
      <alignment horizontal="left"/>
      <protection/>
    </xf>
    <xf numFmtId="0" fontId="19" fillId="0" borderId="20" xfId="70" applyFont="1" applyBorder="1" applyAlignment="1">
      <alignment horizontal="left"/>
      <protection/>
    </xf>
    <xf numFmtId="0" fontId="16" fillId="0" borderId="0" xfId="79" applyFont="1" applyBorder="1" applyAlignment="1">
      <alignment horizontal="left" vertical="center"/>
      <protection/>
    </xf>
    <xf numFmtId="0" fontId="4" fillId="0" borderId="0" xfId="79" applyFont="1" applyAlignment="1">
      <alignment vertical="center"/>
      <protection/>
    </xf>
    <xf numFmtId="0" fontId="71" fillId="0" borderId="0" xfId="0" applyFont="1" applyBorder="1" applyAlignment="1">
      <alignment horizontal="center"/>
    </xf>
    <xf numFmtId="0" fontId="19" fillId="0" borderId="49" xfId="79" applyFont="1" applyBorder="1" applyAlignment="1">
      <alignment vertical="center"/>
      <protection/>
    </xf>
    <xf numFmtId="0" fontId="19" fillId="0" borderId="19" xfId="79" applyFont="1" applyBorder="1" applyAlignment="1">
      <alignment vertical="center"/>
      <protection/>
    </xf>
    <xf numFmtId="0" fontId="19" fillId="0" borderId="50" xfId="79" applyFont="1" applyBorder="1" applyAlignment="1">
      <alignment vertical="center"/>
      <protection/>
    </xf>
    <xf numFmtId="0" fontId="18" fillId="0" borderId="17" xfId="79" applyFont="1" applyBorder="1" applyAlignment="1">
      <alignment vertical="center"/>
      <protection/>
    </xf>
    <xf numFmtId="0" fontId="18" fillId="0" borderId="0" xfId="79" applyFont="1" applyBorder="1" applyAlignment="1">
      <alignment vertical="center"/>
      <protection/>
    </xf>
    <xf numFmtId="9" fontId="19" fillId="0" borderId="0" xfId="81" applyFont="1" applyBorder="1" applyAlignment="1">
      <alignment vertical="center"/>
    </xf>
    <xf numFmtId="4" fontId="20" fillId="0" borderId="0" xfId="71" applyNumberFormat="1" applyFont="1" applyAlignment="1">
      <alignment vertical="center" wrapText="1"/>
      <protection/>
    </xf>
    <xf numFmtId="4" fontId="20" fillId="0" borderId="0" xfId="71" applyNumberFormat="1" applyFont="1" applyBorder="1">
      <alignment/>
      <protection/>
    </xf>
    <xf numFmtId="4" fontId="21" fillId="0" borderId="0" xfId="72" applyNumberFormat="1" applyFont="1" applyAlignment="1">
      <alignment vertical="center" wrapText="1"/>
      <protection/>
    </xf>
    <xf numFmtId="1" fontId="18" fillId="0" borderId="0" xfId="79" applyNumberFormat="1" applyFont="1" applyBorder="1" applyAlignment="1">
      <alignment vertical="center"/>
      <protection/>
    </xf>
    <xf numFmtId="1" fontId="19" fillId="0" borderId="0" xfId="78" applyNumberFormat="1" applyFont="1" applyBorder="1" applyAlignment="1">
      <alignment vertical="center"/>
      <protection/>
    </xf>
    <xf numFmtId="4" fontId="19" fillId="0" borderId="44" xfId="77" applyNumberFormat="1" applyFont="1" applyFill="1" applyBorder="1" applyAlignment="1">
      <alignment vertical="center"/>
      <protection/>
    </xf>
    <xf numFmtId="4" fontId="19" fillId="0" borderId="44" xfId="77" applyNumberFormat="1" applyFont="1" applyBorder="1" applyAlignment="1">
      <alignment vertical="center"/>
      <protection/>
    </xf>
    <xf numFmtId="4" fontId="19" fillId="0" borderId="48" xfId="77" applyNumberFormat="1" applyFont="1" applyBorder="1" applyAlignment="1">
      <alignment vertical="center"/>
      <protection/>
    </xf>
    <xf numFmtId="4" fontId="13" fillId="0" borderId="26" xfId="71" applyNumberFormat="1" applyFont="1" applyBorder="1" applyAlignment="1">
      <alignment horizontal="right" vertical="center" wrapText="1"/>
      <protection/>
    </xf>
    <xf numFmtId="4" fontId="13" fillId="0" borderId="26" xfId="70" applyNumberFormat="1" applyFont="1" applyBorder="1" applyAlignment="1">
      <alignment horizontal="right" vertical="center"/>
      <protection/>
    </xf>
    <xf numFmtId="4" fontId="13" fillId="0" borderId="0" xfId="70" applyNumberFormat="1" applyFont="1" applyBorder="1" applyAlignment="1">
      <alignment horizontal="right" vertical="center"/>
      <protection/>
    </xf>
    <xf numFmtId="166" fontId="7" fillId="0" borderId="0" xfId="53" applyFont="1">
      <alignment horizontal="right" vertical="center"/>
    </xf>
    <xf numFmtId="4" fontId="18" fillId="0" borderId="0" xfId="73" applyNumberFormat="1" applyFont="1" applyBorder="1" applyAlignment="1">
      <alignment horizontal="right" vertical="center"/>
      <protection/>
    </xf>
    <xf numFmtId="4" fontId="13" fillId="0" borderId="0" xfId="74" applyNumberFormat="1" applyFont="1" applyBorder="1" applyAlignment="1" applyProtection="1">
      <alignment vertical="center" wrapText="1"/>
      <protection hidden="1"/>
    </xf>
    <xf numFmtId="2" fontId="19" fillId="0" borderId="0" xfId="67" applyNumberFormat="1" applyFont="1" applyBorder="1" applyAlignment="1">
      <alignment horizontal="right" vertical="center"/>
      <protection/>
    </xf>
    <xf numFmtId="2" fontId="19" fillId="0" borderId="27" xfId="67" applyNumberFormat="1" applyFont="1" applyBorder="1" applyAlignment="1">
      <alignment horizontal="right" vertical="center"/>
      <protection/>
    </xf>
    <xf numFmtId="2" fontId="19" fillId="0" borderId="26" xfId="67" applyNumberFormat="1" applyFont="1" applyBorder="1" applyAlignment="1">
      <alignment horizontal="right" vertical="center"/>
      <protection/>
    </xf>
    <xf numFmtId="2" fontId="19" fillId="0" borderId="24" xfId="67" applyNumberFormat="1" applyFont="1" applyBorder="1" applyAlignment="1">
      <alignment horizontal="right" vertical="center"/>
      <protection/>
    </xf>
    <xf numFmtId="2" fontId="19" fillId="0" borderId="26" xfId="68" applyNumberFormat="1" applyFont="1" applyBorder="1" applyAlignment="1">
      <alignment horizontal="right" vertical="center"/>
      <protection/>
    </xf>
    <xf numFmtId="2" fontId="19" fillId="0" borderId="24" xfId="68" applyNumberFormat="1" applyFont="1" applyBorder="1" applyAlignment="1">
      <alignment horizontal="right" vertical="center"/>
      <protection/>
    </xf>
    <xf numFmtId="4" fontId="25" fillId="0" borderId="0" xfId="77" applyNumberFormat="1" applyFont="1" applyAlignment="1" applyProtection="1">
      <alignment vertical="center"/>
      <protection hidden="1"/>
    </xf>
    <xf numFmtId="10" fontId="19" fillId="0" borderId="51" xfId="81" applyNumberFormat="1" applyFont="1" applyBorder="1" applyAlignment="1" applyProtection="1">
      <alignment vertical="center"/>
      <protection/>
    </xf>
    <xf numFmtId="10" fontId="19" fillId="0" borderId="52" xfId="81" applyNumberFormat="1" applyFont="1" applyBorder="1" applyAlignment="1" applyProtection="1">
      <alignment vertical="center"/>
      <protection/>
    </xf>
    <xf numFmtId="10" fontId="19" fillId="0" borderId="53" xfId="81" applyNumberFormat="1" applyFont="1" applyBorder="1" applyAlignment="1" applyProtection="1">
      <alignment vertical="center"/>
      <protection/>
    </xf>
    <xf numFmtId="10" fontId="19" fillId="0" borderId="54" xfId="81" applyNumberFormat="1" applyFont="1" applyBorder="1" applyAlignment="1" applyProtection="1">
      <alignment vertical="center"/>
      <protection/>
    </xf>
    <xf numFmtId="1" fontId="18" fillId="0" borderId="55" xfId="79" applyNumberFormat="1" applyFont="1" applyBorder="1" applyAlignment="1" applyProtection="1">
      <alignment vertical="center"/>
      <protection/>
    </xf>
    <xf numFmtId="1" fontId="19" fillId="0" borderId="56" xfId="79" applyNumberFormat="1" applyFont="1" applyBorder="1" applyAlignment="1" applyProtection="1">
      <alignment vertical="center"/>
      <protection/>
    </xf>
    <xf numFmtId="1" fontId="19" fillId="0" borderId="57" xfId="79" applyNumberFormat="1" applyFont="1" applyBorder="1" applyAlignment="1" applyProtection="1">
      <alignment vertical="center"/>
      <protection/>
    </xf>
    <xf numFmtId="1" fontId="19" fillId="0" borderId="58" xfId="79" applyNumberFormat="1" applyFont="1" applyBorder="1" applyAlignment="1" applyProtection="1">
      <alignment vertical="center"/>
      <protection/>
    </xf>
    <xf numFmtId="1" fontId="19" fillId="0" borderId="59" xfId="79" applyNumberFormat="1" applyFont="1" applyBorder="1" applyAlignment="1" applyProtection="1">
      <alignment vertical="center"/>
      <protection/>
    </xf>
    <xf numFmtId="4" fontId="18" fillId="0" borderId="51" xfId="72" applyNumberFormat="1" applyFont="1" applyBorder="1" applyAlignment="1" applyProtection="1">
      <alignment horizontal="right" vertical="center"/>
      <protection/>
    </xf>
    <xf numFmtId="4" fontId="18" fillId="0" borderId="55" xfId="72" applyNumberFormat="1" applyFont="1" applyBorder="1" applyAlignment="1" applyProtection="1">
      <alignment horizontal="right" vertical="center"/>
      <protection/>
    </xf>
    <xf numFmtId="4" fontId="18" fillId="0" borderId="51" xfId="73" applyNumberFormat="1" applyFont="1" applyBorder="1" applyAlignment="1" applyProtection="1">
      <alignment horizontal="right" vertical="center"/>
      <protection/>
    </xf>
    <xf numFmtId="4" fontId="18" fillId="0" borderId="60" xfId="73" applyNumberFormat="1" applyFont="1" applyBorder="1" applyAlignment="1" applyProtection="1">
      <alignment horizontal="right" vertical="center"/>
      <protection/>
    </xf>
    <xf numFmtId="4" fontId="18" fillId="0" borderId="51" xfId="73" applyNumberFormat="1" applyFont="1" applyBorder="1" applyAlignment="1" applyProtection="1">
      <alignment horizontal="right" vertical="center" wrapText="1"/>
      <protection/>
    </xf>
    <xf numFmtId="4" fontId="18" fillId="0" borderId="55" xfId="73" applyNumberFormat="1" applyFont="1" applyBorder="1" applyAlignment="1" applyProtection="1">
      <alignment horizontal="right" vertical="center" wrapText="1"/>
      <protection/>
    </xf>
    <xf numFmtId="4" fontId="18" fillId="0" borderId="51" xfId="74" applyNumberFormat="1" applyFont="1" applyBorder="1" applyAlignment="1" applyProtection="1">
      <alignment horizontal="right" vertical="center" wrapText="1"/>
      <protection/>
    </xf>
    <xf numFmtId="4" fontId="18" fillId="0" borderId="55" xfId="74" applyNumberFormat="1" applyFont="1" applyBorder="1" applyAlignment="1" applyProtection="1">
      <alignment horizontal="right" vertical="center" wrapText="1"/>
      <protection/>
    </xf>
    <xf numFmtId="4" fontId="19" fillId="0" borderId="35" xfId="77" applyNumberFormat="1" applyFont="1" applyBorder="1" applyAlignment="1" applyProtection="1">
      <alignment vertical="center"/>
      <protection/>
    </xf>
    <xf numFmtId="4" fontId="19" fillId="0" borderId="61" xfId="77" applyNumberFormat="1" applyFont="1" applyBorder="1" applyAlignment="1" applyProtection="1">
      <alignment vertical="center"/>
      <protection/>
    </xf>
    <xf numFmtId="4" fontId="19" fillId="0" borderId="21" xfId="77" applyNumberFormat="1" applyFont="1" applyBorder="1" applyAlignment="1" applyProtection="1">
      <alignment vertical="center"/>
      <protection/>
    </xf>
    <xf numFmtId="4" fontId="19" fillId="0" borderId="62" xfId="77" applyNumberFormat="1" applyFont="1" applyBorder="1" applyAlignment="1" applyProtection="1">
      <alignment vertical="center"/>
      <protection/>
    </xf>
    <xf numFmtId="0" fontId="34" fillId="0" borderId="63" xfId="68" applyFont="1" applyBorder="1" applyAlignment="1">
      <alignment vertical="center"/>
      <protection/>
    </xf>
    <xf numFmtId="0" fontId="4" fillId="0" borderId="64" xfId="0" applyFont="1" applyBorder="1" applyAlignment="1">
      <alignment horizontal="left" vertical="center" wrapText="1"/>
    </xf>
    <xf numFmtId="4" fontId="13" fillId="0" borderId="26" xfId="70" applyNumberFormat="1" applyFont="1" applyBorder="1" applyAlignment="1" applyProtection="1">
      <alignment horizontal="right" vertical="center"/>
      <protection/>
    </xf>
    <xf numFmtId="4" fontId="19" fillId="0" borderId="53" xfId="74" applyNumberFormat="1" applyFont="1" applyBorder="1" applyAlignment="1" applyProtection="1">
      <alignment horizontal="right" vertical="center" wrapText="1"/>
      <protection/>
    </xf>
    <xf numFmtId="4" fontId="18" fillId="0" borderId="0" xfId="74" applyNumberFormat="1" applyFont="1" applyBorder="1" applyAlignment="1" applyProtection="1">
      <alignment vertical="center" wrapText="1"/>
      <protection/>
    </xf>
    <xf numFmtId="4" fontId="48" fillId="0" borderId="0" xfId="74" applyNumberFormat="1" applyFont="1" applyBorder="1" applyAlignment="1" applyProtection="1">
      <alignment vertical="center" wrapText="1"/>
      <protection/>
    </xf>
    <xf numFmtId="4" fontId="4" fillId="0" borderId="0" xfId="70" applyNumberFormat="1" applyFont="1">
      <alignment/>
      <protection/>
    </xf>
    <xf numFmtId="4" fontId="4" fillId="0" borderId="0" xfId="70" applyNumberFormat="1" applyFont="1" applyBorder="1" applyAlignment="1">
      <alignment/>
      <protection/>
    </xf>
    <xf numFmtId="4" fontId="8" fillId="0" borderId="0" xfId="70" applyNumberFormat="1" applyFont="1" applyFill="1" applyBorder="1" applyAlignment="1">
      <alignment horizontal="center" vertical="center" wrapText="1"/>
      <protection/>
    </xf>
    <xf numFmtId="4" fontId="8" fillId="0" borderId="0" xfId="70" applyNumberFormat="1" applyFont="1" applyBorder="1" applyAlignment="1">
      <alignment horizontal="center" vertical="center" wrapText="1"/>
      <protection/>
    </xf>
    <xf numFmtId="4" fontId="8" fillId="0" borderId="0" xfId="70" applyNumberFormat="1" applyFont="1" applyAlignment="1">
      <alignment horizontal="center" vertical="center" wrapText="1"/>
      <protection/>
    </xf>
    <xf numFmtId="4" fontId="13" fillId="0" borderId="0" xfId="71" applyNumberFormat="1" applyFont="1" applyBorder="1" applyAlignment="1">
      <alignment horizontal="center" vertical="center"/>
      <protection/>
    </xf>
    <xf numFmtId="4" fontId="32" fillId="0" borderId="0" xfId="70" applyNumberFormat="1" applyFont="1" applyBorder="1" applyAlignment="1">
      <alignment horizontal="center" vertical="center"/>
      <protection/>
    </xf>
    <xf numFmtId="4" fontId="19" fillId="0" borderId="53" xfId="71" applyNumberFormat="1" applyFont="1" applyBorder="1" applyAlignment="1" applyProtection="1">
      <alignment horizontal="right" vertical="center" wrapText="1"/>
      <protection/>
    </xf>
    <xf numFmtId="4" fontId="19" fillId="0" borderId="26" xfId="71" applyNumberFormat="1" applyFont="1" applyBorder="1" applyAlignment="1">
      <alignment horizontal="right" vertical="center" wrapText="1"/>
      <protection/>
    </xf>
    <xf numFmtId="4" fontId="19" fillId="0" borderId="0" xfId="71" applyNumberFormat="1" applyFont="1" applyBorder="1" applyAlignment="1">
      <alignment horizontal="right" vertical="center" wrapText="1"/>
      <protection/>
    </xf>
    <xf numFmtId="4" fontId="19" fillId="0" borderId="26" xfId="71" applyNumberFormat="1" applyFont="1" applyBorder="1" applyAlignment="1" applyProtection="1">
      <alignment horizontal="right" vertical="center" wrapText="1"/>
      <protection/>
    </xf>
    <xf numFmtId="4" fontId="19" fillId="0" borderId="27" xfId="71" applyNumberFormat="1" applyFont="1" applyBorder="1" applyAlignment="1">
      <alignment horizontal="right" vertical="center" wrapText="1"/>
      <protection/>
    </xf>
    <xf numFmtId="4" fontId="19" fillId="0" borderId="27" xfId="71" applyNumberFormat="1" applyFont="1" applyBorder="1" applyAlignment="1" applyProtection="1">
      <alignment horizontal="right" vertical="center" wrapText="1"/>
      <protection/>
    </xf>
    <xf numFmtId="4" fontId="19" fillId="0" borderId="0" xfId="0" applyNumberFormat="1" applyFont="1" applyAlignment="1">
      <alignment horizontal="right" vertical="center"/>
    </xf>
    <xf numFmtId="4" fontId="19" fillId="0" borderId="0" xfId="72" applyNumberFormat="1" applyFont="1" applyBorder="1" applyAlignment="1">
      <alignment horizontal="right" vertical="center"/>
      <protection/>
    </xf>
    <xf numFmtId="4" fontId="18" fillId="0" borderId="0" xfId="70" applyNumberFormat="1" applyFont="1" applyBorder="1" applyAlignment="1">
      <alignment vertical="center"/>
      <protection/>
    </xf>
    <xf numFmtId="4" fontId="18" fillId="0" borderId="0" xfId="70" applyNumberFormat="1" applyFont="1" applyBorder="1" applyAlignment="1" applyProtection="1">
      <alignment vertical="center"/>
      <protection/>
    </xf>
    <xf numFmtId="4" fontId="19" fillId="0" borderId="0" xfId="0" applyNumberFormat="1" applyFont="1" applyFill="1" applyAlignment="1">
      <alignment/>
    </xf>
    <xf numFmtId="4" fontId="8" fillId="0" borderId="0" xfId="72" applyNumberFormat="1" applyFont="1" applyBorder="1" applyAlignment="1">
      <alignment vertical="center"/>
      <protection/>
    </xf>
    <xf numFmtId="4" fontId="8" fillId="0" borderId="0" xfId="72" applyNumberFormat="1" applyFont="1" applyBorder="1" applyAlignment="1" applyProtection="1">
      <alignment vertical="center"/>
      <protection/>
    </xf>
    <xf numFmtId="4" fontId="8" fillId="0" borderId="0" xfId="70" applyNumberFormat="1" applyFont="1" applyFill="1" applyBorder="1" applyAlignment="1" applyProtection="1">
      <alignment horizontal="center" vertical="center" wrapText="1"/>
      <protection/>
    </xf>
    <xf numFmtId="4" fontId="32" fillId="0" borderId="0" xfId="70" applyNumberFormat="1" applyFont="1" applyBorder="1" applyAlignment="1" applyProtection="1">
      <alignment horizontal="center" vertical="center"/>
      <protection/>
    </xf>
    <xf numFmtId="4" fontId="19" fillId="0" borderId="53" xfId="70" applyNumberFormat="1" applyFont="1" applyBorder="1" applyAlignment="1" applyProtection="1">
      <alignment horizontal="right" vertical="center"/>
      <protection/>
    </xf>
    <xf numFmtId="4" fontId="19" fillId="0" borderId="65" xfId="71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>
      <alignment horizontal="right"/>
    </xf>
    <xf numFmtId="4" fontId="20" fillId="0" borderId="0" xfId="70" applyNumberFormat="1" applyFont="1" applyBorder="1" applyAlignment="1">
      <alignment horizontal="right" vertical="center"/>
      <protection/>
    </xf>
    <xf numFmtId="4" fontId="20" fillId="0" borderId="0" xfId="70" applyNumberFormat="1" applyFont="1" applyBorder="1" applyAlignment="1" applyProtection="1">
      <alignment horizontal="right" vertical="center"/>
      <protection/>
    </xf>
    <xf numFmtId="4" fontId="20" fillId="0" borderId="0" xfId="70" applyNumberFormat="1" applyFont="1" applyFill="1" applyBorder="1" applyAlignment="1">
      <alignment horizontal="right" vertical="center"/>
      <protection/>
    </xf>
    <xf numFmtId="4" fontId="18" fillId="0" borderId="0" xfId="70" applyNumberFormat="1" applyFont="1" applyBorder="1" applyAlignment="1">
      <alignment horizontal="center" vertical="center"/>
      <protection/>
    </xf>
    <xf numFmtId="4" fontId="4" fillId="0" borderId="0" xfId="70" applyNumberFormat="1" applyFont="1" applyProtection="1">
      <alignment/>
      <protection/>
    </xf>
    <xf numFmtId="4" fontId="32" fillId="0" borderId="0" xfId="70" applyNumberFormat="1" applyFont="1" applyAlignment="1">
      <alignment horizontal="center"/>
      <protection/>
    </xf>
    <xf numFmtId="4" fontId="32" fillId="0" borderId="0" xfId="70" applyNumberFormat="1" applyFont="1" applyAlignment="1" applyProtection="1">
      <alignment horizontal="center"/>
      <protection/>
    </xf>
    <xf numFmtId="4" fontId="19" fillId="0" borderId="53" xfId="72" applyNumberFormat="1" applyFont="1" applyBorder="1" applyAlignment="1" applyProtection="1">
      <alignment horizontal="right" vertical="center" wrapText="1"/>
      <protection/>
    </xf>
    <xf numFmtId="4" fontId="20" fillId="0" borderId="0" xfId="71" applyNumberFormat="1" applyFont="1" applyBorder="1" applyAlignment="1">
      <alignment vertical="center" wrapText="1"/>
      <protection/>
    </xf>
    <xf numFmtId="4" fontId="20" fillId="0" borderId="0" xfId="71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Alignment="1">
      <alignment/>
    </xf>
    <xf numFmtId="4" fontId="20" fillId="0" borderId="0" xfId="71" applyNumberFormat="1" applyFont="1" applyFill="1" applyBorder="1" applyAlignment="1">
      <alignment vertical="center" wrapText="1"/>
      <protection/>
    </xf>
    <xf numFmtId="4" fontId="32" fillId="0" borderId="0" xfId="72" applyNumberFormat="1" applyFont="1" applyBorder="1" applyAlignment="1">
      <alignment horizontal="center" vertical="center"/>
      <protection/>
    </xf>
    <xf numFmtId="4" fontId="32" fillId="0" borderId="0" xfId="72" applyNumberFormat="1" applyFont="1" applyBorder="1" applyAlignment="1" applyProtection="1">
      <alignment horizontal="center" vertical="center"/>
      <protection/>
    </xf>
    <xf numFmtId="4" fontId="32" fillId="0" borderId="27" xfId="70" applyNumberFormat="1" applyFont="1" applyFill="1" applyBorder="1" applyAlignment="1">
      <alignment horizontal="center" vertical="center"/>
      <protection/>
    </xf>
    <xf numFmtId="4" fontId="32" fillId="0" borderId="27" xfId="70" applyNumberFormat="1" applyFont="1" applyBorder="1" applyAlignment="1">
      <alignment horizontal="center" vertical="center"/>
      <protection/>
    </xf>
    <xf numFmtId="4" fontId="19" fillId="0" borderId="0" xfId="73" applyNumberFormat="1" applyFont="1" applyBorder="1" applyAlignment="1">
      <alignment horizontal="righ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20" xfId="73" applyNumberFormat="1" applyFont="1" applyBorder="1" applyAlignment="1" applyProtection="1">
      <alignment horizontal="right" vertical="center" wrapText="1"/>
      <protection/>
    </xf>
    <xf numFmtId="4" fontId="19" fillId="0" borderId="0" xfId="73" applyNumberFormat="1" applyFont="1" applyBorder="1" applyAlignment="1" applyProtection="1">
      <alignment horizontal="right" vertical="center" wrapText="1"/>
      <protection/>
    </xf>
    <xf numFmtId="4" fontId="19" fillId="0" borderId="22" xfId="73" applyNumberFormat="1" applyFont="1" applyBorder="1" applyAlignment="1" applyProtection="1">
      <alignment horizontal="right" vertical="center" wrapText="1"/>
      <protection/>
    </xf>
    <xf numFmtId="4" fontId="35" fillId="0" borderId="0" xfId="73" applyNumberFormat="1" applyFont="1" applyBorder="1" applyAlignment="1">
      <alignment vertical="center" wrapText="1"/>
      <protection/>
    </xf>
    <xf numFmtId="4" fontId="20" fillId="0" borderId="0" xfId="73" applyNumberFormat="1" applyFont="1" applyBorder="1" applyAlignment="1">
      <alignment vertical="center" wrapText="1"/>
      <protection/>
    </xf>
    <xf numFmtId="4" fontId="7" fillId="0" borderId="0" xfId="70" applyNumberFormat="1">
      <alignment/>
      <protection/>
    </xf>
    <xf numFmtId="4" fontId="13" fillId="0" borderId="0" xfId="70" applyNumberFormat="1" applyFont="1" applyBorder="1" applyAlignment="1">
      <alignment horizontal="center" vertical="center"/>
      <protection/>
    </xf>
    <xf numFmtId="4" fontId="4" fillId="0" borderId="0" xfId="74" applyNumberFormat="1" applyFont="1">
      <alignment/>
      <protection/>
    </xf>
    <xf numFmtId="4" fontId="4" fillId="0" borderId="0" xfId="74" applyNumberFormat="1" applyFont="1" applyAlignment="1">
      <alignment vertical="center" wrapText="1"/>
      <protection/>
    </xf>
    <xf numFmtId="4" fontId="4" fillId="0" borderId="0" xfId="74" applyNumberFormat="1" applyFont="1" applyAlignment="1" applyProtection="1">
      <alignment vertical="center" wrapText="1"/>
      <protection/>
    </xf>
    <xf numFmtId="4" fontId="13" fillId="0" borderId="0" xfId="71" applyNumberFormat="1" applyFont="1" applyBorder="1" applyAlignment="1" applyProtection="1">
      <alignment horizontal="center" vertical="center"/>
      <protection/>
    </xf>
    <xf numFmtId="4" fontId="19" fillId="0" borderId="53" xfId="75" applyNumberFormat="1" applyFont="1" applyBorder="1" applyAlignment="1" applyProtection="1">
      <alignment horizontal="right" vertical="center"/>
      <protection/>
    </xf>
    <xf numFmtId="4" fontId="19" fillId="0" borderId="40" xfId="75" applyNumberFormat="1" applyFont="1" applyBorder="1" applyAlignment="1">
      <alignment horizontal="right" vertical="center"/>
      <protection/>
    </xf>
    <xf numFmtId="4" fontId="19" fillId="0" borderId="0" xfId="75" applyNumberFormat="1" applyFont="1" applyAlignment="1">
      <alignment horizontal="right" vertical="center"/>
      <protection/>
    </xf>
    <xf numFmtId="4" fontId="19" fillId="0" borderId="0" xfId="75" applyNumberFormat="1" applyFont="1" applyAlignment="1" applyProtection="1">
      <alignment horizontal="right" vertical="center"/>
      <protection/>
    </xf>
    <xf numFmtId="4" fontId="19" fillId="0" borderId="0" xfId="75" applyNumberFormat="1" applyFont="1" applyBorder="1" applyAlignment="1">
      <alignment horizontal="right" vertical="center"/>
      <protection/>
    </xf>
    <xf numFmtId="4" fontId="48" fillId="0" borderId="0" xfId="74" applyNumberFormat="1" applyFont="1" applyBorder="1" applyAlignment="1">
      <alignment vertical="center" wrapText="1"/>
      <protection/>
    </xf>
    <xf numFmtId="4" fontId="4" fillId="0" borderId="0" xfId="74" applyNumberFormat="1" applyFont="1" applyProtection="1">
      <alignment/>
      <protection/>
    </xf>
    <xf numFmtId="4" fontId="68" fillId="0" borderId="0" xfId="76" applyNumberFormat="1" applyFont="1" applyBorder="1" applyAlignment="1">
      <alignment horizontal="right" vertical="center"/>
      <protection/>
    </xf>
    <xf numFmtId="4" fontId="68" fillId="0" borderId="0" xfId="76" applyNumberFormat="1" applyFont="1" applyBorder="1" applyAlignment="1">
      <alignment horizontal="right" vertical="center" wrapText="1"/>
      <protection/>
    </xf>
    <xf numFmtId="4" fontId="68" fillId="0" borderId="0" xfId="76" applyNumberFormat="1" applyFont="1" applyBorder="1" applyAlignment="1" applyProtection="1">
      <alignment horizontal="right" vertical="center" wrapText="1"/>
      <protection/>
    </xf>
    <xf numFmtId="4" fontId="19" fillId="0" borderId="53" xfId="76" applyNumberFormat="1" applyFont="1" applyBorder="1" applyAlignment="1" applyProtection="1">
      <alignment horizontal="right" vertical="center"/>
      <protection/>
    </xf>
    <xf numFmtId="4" fontId="19" fillId="0" borderId="0" xfId="76" applyNumberFormat="1" applyFont="1" applyBorder="1" applyAlignment="1">
      <alignment horizontal="right" vertical="center"/>
      <protection/>
    </xf>
    <xf numFmtId="4" fontId="19" fillId="0" borderId="0" xfId="76" applyNumberFormat="1" applyFont="1" applyBorder="1" applyAlignment="1">
      <alignment horizontal="right" vertical="center" wrapText="1"/>
      <protection/>
    </xf>
    <xf numFmtId="4" fontId="19" fillId="0" borderId="0" xfId="76" applyNumberFormat="1" applyFont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>
      <alignment horizontal="right" vertical="center"/>
    </xf>
    <xf numFmtId="4" fontId="18" fillId="0" borderId="51" xfId="76" applyNumberFormat="1" applyFont="1" applyBorder="1" applyAlignment="1" applyProtection="1">
      <alignment horizontal="right" vertical="center" wrapText="1"/>
      <protection/>
    </xf>
    <xf numFmtId="4" fontId="18" fillId="0" borderId="55" xfId="76" applyNumberFormat="1" applyFont="1" applyBorder="1" applyAlignment="1" applyProtection="1">
      <alignment horizontal="right" vertical="center" wrapText="1"/>
      <protection/>
    </xf>
    <xf numFmtId="4" fontId="10" fillId="0" borderId="0" xfId="76" applyNumberFormat="1" applyFont="1" applyAlignment="1">
      <alignment vertical="center" wrapText="1"/>
      <protection/>
    </xf>
    <xf numFmtId="4" fontId="10" fillId="0" borderId="0" xfId="76" applyNumberFormat="1" applyFont="1" applyAlignment="1">
      <alignment horizontal="center" vertical="center" wrapText="1"/>
      <protection/>
    </xf>
    <xf numFmtId="4" fontId="10" fillId="0" borderId="53" xfId="76" applyNumberFormat="1" applyFont="1" applyBorder="1" applyAlignment="1">
      <alignment horizontal="center" vertical="center" wrapText="1"/>
      <protection/>
    </xf>
    <xf numFmtId="4" fontId="7" fillId="0" borderId="0" xfId="74" applyNumberFormat="1">
      <alignment/>
      <protection/>
    </xf>
    <xf numFmtId="2" fontId="18" fillId="0" borderId="46" xfId="68" applyNumberFormat="1" applyFont="1" applyBorder="1" applyAlignment="1" applyProtection="1">
      <alignment horizontal="right" vertical="center"/>
      <protection/>
    </xf>
    <xf numFmtId="11" fontId="8" fillId="0" borderId="0" xfId="72" applyNumberFormat="1" applyFont="1" applyBorder="1" applyAlignment="1">
      <alignment vertical="center"/>
      <protection/>
    </xf>
    <xf numFmtId="49" fontId="51" fillId="0" borderId="0" xfId="68" applyNumberFormat="1" applyFont="1" applyAlignment="1">
      <alignment horizontal="left"/>
      <protection/>
    </xf>
    <xf numFmtId="0" fontId="51" fillId="0" borderId="0" xfId="68" applyFont="1" applyAlignment="1">
      <alignment horizontal="left"/>
      <protection/>
    </xf>
    <xf numFmtId="1" fontId="18" fillId="0" borderId="17" xfId="79" applyNumberFormat="1" applyFont="1" applyBorder="1" applyAlignment="1" applyProtection="1">
      <alignment vertical="center"/>
      <protection/>
    </xf>
    <xf numFmtId="1" fontId="18" fillId="0" borderId="51" xfId="79" applyNumberFormat="1" applyFont="1" applyBorder="1" applyAlignment="1" applyProtection="1">
      <alignment vertical="center"/>
      <protection/>
    </xf>
    <xf numFmtId="4" fontId="19" fillId="34" borderId="65" xfId="0" applyNumberFormat="1" applyFont="1" applyFill="1" applyBorder="1" applyAlignment="1" applyProtection="1">
      <alignment horizontal="right" vertical="center"/>
      <protection/>
    </xf>
    <xf numFmtId="4" fontId="19" fillId="34" borderId="0" xfId="0" applyNumberFormat="1" applyFont="1" applyFill="1" applyAlignment="1" applyProtection="1">
      <alignment horizontal="right" vertical="center"/>
      <protection/>
    </xf>
    <xf numFmtId="4" fontId="19" fillId="34" borderId="66" xfId="0" applyNumberFormat="1" applyFont="1" applyFill="1" applyBorder="1" applyAlignment="1" applyProtection="1">
      <alignment horizontal="right" vertical="center"/>
      <protection/>
    </xf>
    <xf numFmtId="4" fontId="19" fillId="34" borderId="67" xfId="0" applyNumberFormat="1" applyFont="1" applyFill="1" applyBorder="1" applyAlignment="1" applyProtection="1">
      <alignment horizontal="right" vertical="center"/>
      <protection/>
    </xf>
    <xf numFmtId="4" fontId="19" fillId="34" borderId="65" xfId="74" applyNumberFormat="1" applyFont="1" applyFill="1" applyBorder="1" applyAlignment="1" applyProtection="1">
      <alignment horizontal="right" vertical="center" wrapText="1"/>
      <protection/>
    </xf>
    <xf numFmtId="4" fontId="19" fillId="34" borderId="66" xfId="74" applyNumberFormat="1" applyFont="1" applyFill="1" applyBorder="1" applyAlignment="1" applyProtection="1">
      <alignment horizontal="right" vertical="center" wrapText="1"/>
      <protection/>
    </xf>
    <xf numFmtId="4" fontId="19" fillId="34" borderId="67" xfId="74" applyNumberFormat="1" applyFont="1" applyFill="1" applyBorder="1" applyAlignment="1" applyProtection="1">
      <alignment horizontal="right" vertical="center" wrapText="1"/>
      <protection/>
    </xf>
    <xf numFmtId="4" fontId="19" fillId="34" borderId="66" xfId="75" applyNumberFormat="1" applyFont="1" applyFill="1" applyBorder="1" applyAlignment="1" applyProtection="1">
      <alignment horizontal="right" vertical="center"/>
      <protection/>
    </xf>
    <xf numFmtId="4" fontId="19" fillId="34" borderId="67" xfId="75" applyNumberFormat="1" applyFont="1" applyFill="1" applyBorder="1" applyAlignment="1" applyProtection="1">
      <alignment horizontal="right" vertical="center"/>
      <protection/>
    </xf>
    <xf numFmtId="4" fontId="19" fillId="34" borderId="53" xfId="75" applyNumberFormat="1" applyFont="1" applyFill="1" applyBorder="1" applyAlignment="1" applyProtection="1">
      <alignment horizontal="right" vertical="center"/>
      <protection/>
    </xf>
    <xf numFmtId="4" fontId="19" fillId="34" borderId="65" xfId="76" applyNumberFormat="1" applyFont="1" applyFill="1" applyBorder="1" applyAlignment="1" applyProtection="1">
      <alignment horizontal="right" vertical="center"/>
      <protection/>
    </xf>
    <xf numFmtId="4" fontId="19" fillId="34" borderId="66" xfId="76" applyNumberFormat="1" applyFont="1" applyFill="1" applyBorder="1" applyAlignment="1" applyProtection="1">
      <alignment horizontal="right" vertical="center"/>
      <protection/>
    </xf>
    <xf numFmtId="4" fontId="19" fillId="34" borderId="67" xfId="76" applyNumberFormat="1" applyFont="1" applyFill="1" applyBorder="1" applyAlignment="1" applyProtection="1">
      <alignment horizontal="right" vertical="center"/>
      <protection/>
    </xf>
    <xf numFmtId="4" fontId="19" fillId="0" borderId="0" xfId="0" applyNumberFormat="1" applyFont="1" applyFill="1" applyAlignment="1" applyProtection="1">
      <alignment horizontal="right" vertical="center"/>
      <protection/>
    </xf>
    <xf numFmtId="4" fontId="20" fillId="0" borderId="0" xfId="73" applyNumberFormat="1" applyFont="1" applyBorder="1" applyAlignment="1" applyProtection="1">
      <alignment vertical="center" wrapText="1"/>
      <protection/>
    </xf>
    <xf numFmtId="2" fontId="18" fillId="0" borderId="46" xfId="67" applyNumberFormat="1" applyFont="1" applyBorder="1" applyAlignment="1" applyProtection="1">
      <alignment horizontal="right" vertical="center"/>
      <protection/>
    </xf>
    <xf numFmtId="4" fontId="19" fillId="0" borderId="68" xfId="77" applyNumberFormat="1" applyFont="1" applyFill="1" applyBorder="1" applyAlignment="1" applyProtection="1">
      <alignment vertical="center"/>
      <protection/>
    </xf>
    <xf numFmtId="0" fontId="19" fillId="35" borderId="0" xfId="0" applyNumberFormat="1" applyFont="1" applyFill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/>
      <protection locked="0"/>
    </xf>
    <xf numFmtId="0" fontId="69" fillId="35" borderId="0" xfId="0" applyFont="1" applyFill="1" applyBorder="1" applyAlignment="1" applyProtection="1">
      <alignment horizontal="right" vertical="top" wrapText="1"/>
      <protection locked="0"/>
    </xf>
    <xf numFmtId="0" fontId="69" fillId="35" borderId="0" xfId="0" applyFont="1" applyFill="1" applyBorder="1" applyAlignment="1" applyProtection="1">
      <alignment horizontal="center" vertical="top" wrapText="1"/>
      <protection locked="0"/>
    </xf>
    <xf numFmtId="4" fontId="19" fillId="35" borderId="53" xfId="71" applyNumberFormat="1" applyFont="1" applyFill="1" applyBorder="1" applyAlignment="1" applyProtection="1">
      <alignment horizontal="right" vertical="center" wrapText="1"/>
      <protection locked="0"/>
    </xf>
    <xf numFmtId="4" fontId="18" fillId="35" borderId="51" xfId="72" applyNumberFormat="1" applyFont="1" applyFill="1" applyBorder="1" applyAlignment="1" applyProtection="1">
      <alignment horizontal="right" vertical="center"/>
      <protection locked="0"/>
    </xf>
    <xf numFmtId="4" fontId="19" fillId="35" borderId="53" xfId="70" applyNumberFormat="1" applyFont="1" applyFill="1" applyBorder="1" applyAlignment="1" applyProtection="1">
      <alignment horizontal="right" vertical="center"/>
      <protection locked="0"/>
    </xf>
    <xf numFmtId="4" fontId="19" fillId="35" borderId="53" xfId="70" applyNumberFormat="1" applyFont="1" applyFill="1" applyBorder="1" applyAlignment="1" applyProtection="1">
      <alignment horizontal="right" vertical="center" wrapText="1"/>
      <protection locked="0"/>
    </xf>
    <xf numFmtId="4" fontId="19" fillId="35" borderId="65" xfId="71" applyNumberFormat="1" applyFont="1" applyFill="1" applyBorder="1" applyAlignment="1" applyProtection="1">
      <alignment horizontal="right" vertical="center" wrapText="1"/>
      <protection locked="0"/>
    </xf>
    <xf numFmtId="4" fontId="18" fillId="35" borderId="51" xfId="73" applyNumberFormat="1" applyFont="1" applyFill="1" applyBorder="1" applyAlignment="1" applyProtection="1">
      <alignment horizontal="right" vertical="center"/>
      <protection locked="0"/>
    </xf>
    <xf numFmtId="4" fontId="19" fillId="35" borderId="53" xfId="72" applyNumberFormat="1" applyFont="1" applyFill="1" applyBorder="1" applyAlignment="1" applyProtection="1">
      <alignment horizontal="right" vertical="center" wrapText="1"/>
      <protection locked="0"/>
    </xf>
    <xf numFmtId="4" fontId="19" fillId="35" borderId="67" xfId="70" applyNumberFormat="1" applyFont="1" applyFill="1" applyBorder="1" applyAlignment="1" applyProtection="1">
      <alignment horizontal="right" vertical="center"/>
      <protection locked="0"/>
    </xf>
    <xf numFmtId="4" fontId="19" fillId="35" borderId="53" xfId="73" applyNumberFormat="1" applyFont="1" applyFill="1" applyBorder="1" applyAlignment="1" applyProtection="1">
      <alignment horizontal="right" vertical="center" wrapText="1"/>
      <protection locked="0"/>
    </xf>
    <xf numFmtId="4" fontId="19" fillId="35" borderId="21" xfId="73" applyNumberFormat="1" applyFont="1" applyFill="1" applyBorder="1" applyAlignment="1" applyProtection="1">
      <alignment horizontal="right" vertical="center" wrapText="1"/>
      <protection locked="0"/>
    </xf>
    <xf numFmtId="4" fontId="19" fillId="35" borderId="65" xfId="70" applyNumberFormat="1" applyFont="1" applyFill="1" applyBorder="1" applyAlignment="1" applyProtection="1">
      <alignment horizontal="right" vertical="center"/>
      <protection locked="0"/>
    </xf>
    <xf numFmtId="4" fontId="19" fillId="35" borderId="53" xfId="74" applyNumberFormat="1" applyFont="1" applyFill="1" applyBorder="1" applyAlignment="1" applyProtection="1">
      <alignment horizontal="right" vertical="center" wrapText="1"/>
      <protection locked="0"/>
    </xf>
    <xf numFmtId="4" fontId="18" fillId="35" borderId="51" xfId="74" applyNumberFormat="1" applyFont="1" applyFill="1" applyBorder="1" applyAlignment="1" applyProtection="1">
      <alignment horizontal="right" vertical="center" wrapText="1"/>
      <protection locked="0"/>
    </xf>
    <xf numFmtId="4" fontId="19" fillId="35" borderId="53" xfId="75" applyNumberFormat="1" applyFont="1" applyFill="1" applyBorder="1" applyAlignment="1" applyProtection="1">
      <alignment horizontal="right" vertical="center"/>
      <protection locked="0"/>
    </xf>
    <xf numFmtId="4" fontId="19" fillId="35" borderId="24" xfId="76" applyNumberFormat="1" applyFont="1" applyFill="1" applyBorder="1" applyAlignment="1" applyProtection="1">
      <alignment horizontal="right" vertical="center"/>
      <protection locked="0"/>
    </xf>
    <xf numFmtId="4" fontId="19" fillId="35" borderId="53" xfId="76" applyNumberFormat="1" applyFont="1" applyFill="1" applyBorder="1" applyAlignment="1" applyProtection="1">
      <alignment horizontal="right" vertical="center"/>
      <protection locked="0"/>
    </xf>
    <xf numFmtId="4" fontId="18" fillId="35" borderId="51" xfId="76" applyNumberFormat="1" applyFont="1" applyFill="1" applyBorder="1" applyAlignment="1" applyProtection="1">
      <alignment horizontal="right" vertical="center" wrapText="1"/>
      <protection locked="0"/>
    </xf>
    <xf numFmtId="4" fontId="19" fillId="35" borderId="65" xfId="74" applyNumberFormat="1" applyFont="1" applyFill="1" applyBorder="1" applyAlignment="1" applyProtection="1">
      <alignment horizontal="right" vertical="center"/>
      <protection locked="0"/>
    </xf>
    <xf numFmtId="2" fontId="19" fillId="35" borderId="69" xfId="67" applyNumberFormat="1" applyFont="1" applyFill="1" applyBorder="1" applyAlignment="1" applyProtection="1">
      <alignment horizontal="right" vertical="center"/>
      <protection locked="0"/>
    </xf>
    <xf numFmtId="2" fontId="19" fillId="35" borderId="70" xfId="67" applyNumberFormat="1" applyFont="1" applyFill="1" applyBorder="1" applyAlignment="1" applyProtection="1">
      <alignment horizontal="right" vertical="center"/>
      <protection locked="0"/>
    </xf>
    <xf numFmtId="2" fontId="19" fillId="35" borderId="71" xfId="67" applyNumberFormat="1" applyFont="1" applyFill="1" applyBorder="1" applyAlignment="1" applyProtection="1">
      <alignment horizontal="right" vertical="center"/>
      <protection locked="0"/>
    </xf>
    <xf numFmtId="2" fontId="19" fillId="35" borderId="72" xfId="67" applyNumberFormat="1" applyFont="1" applyFill="1" applyBorder="1" applyAlignment="1" applyProtection="1">
      <alignment horizontal="right" vertical="center"/>
      <protection locked="0"/>
    </xf>
    <xf numFmtId="2" fontId="19" fillId="35" borderId="68" xfId="67" applyNumberFormat="1" applyFont="1" applyFill="1" applyBorder="1" applyAlignment="1" applyProtection="1">
      <alignment horizontal="right" vertical="center"/>
      <protection locked="0"/>
    </xf>
    <xf numFmtId="2" fontId="19" fillId="35" borderId="73" xfId="67" applyNumberFormat="1" applyFont="1" applyFill="1" applyBorder="1" applyAlignment="1" applyProtection="1">
      <alignment horizontal="right" vertical="center"/>
      <protection locked="0"/>
    </xf>
    <xf numFmtId="2" fontId="19" fillId="35" borderId="74" xfId="67" applyNumberFormat="1" applyFont="1" applyFill="1" applyBorder="1" applyAlignment="1" applyProtection="1">
      <alignment horizontal="right" vertical="center"/>
      <protection locked="0"/>
    </xf>
    <xf numFmtId="2" fontId="19" fillId="35" borderId="75" xfId="67" applyNumberFormat="1" applyFont="1" applyFill="1" applyBorder="1" applyAlignment="1" applyProtection="1">
      <alignment horizontal="right" vertical="center"/>
      <protection locked="0"/>
    </xf>
    <xf numFmtId="2" fontId="19" fillId="35" borderId="53" xfId="67" applyNumberFormat="1" applyFont="1" applyFill="1" applyBorder="1" applyAlignment="1" applyProtection="1">
      <alignment horizontal="right" vertical="center"/>
      <protection locked="0"/>
    </xf>
    <xf numFmtId="2" fontId="19" fillId="35" borderId="76" xfId="67" applyNumberFormat="1" applyFont="1" applyFill="1" applyBorder="1" applyAlignment="1" applyProtection="1">
      <alignment horizontal="right" vertical="center"/>
      <protection locked="0"/>
    </xf>
    <xf numFmtId="2" fontId="19" fillId="35" borderId="46" xfId="67" applyNumberFormat="1" applyFont="1" applyFill="1" applyBorder="1" applyAlignment="1" applyProtection="1">
      <alignment horizontal="right" vertical="center"/>
      <protection locked="0"/>
    </xf>
    <xf numFmtId="2" fontId="19" fillId="35" borderId="77" xfId="67" applyNumberFormat="1" applyFont="1" applyFill="1" applyBorder="1" applyAlignment="1" applyProtection="1">
      <alignment horizontal="right" vertical="center"/>
      <protection locked="0"/>
    </xf>
    <xf numFmtId="2" fontId="19" fillId="35" borderId="74" xfId="68" applyNumberFormat="1" applyFont="1" applyFill="1" applyBorder="1" applyAlignment="1" applyProtection="1">
      <alignment horizontal="right" vertical="center"/>
      <protection locked="0"/>
    </xf>
    <xf numFmtId="2" fontId="19" fillId="35" borderId="75" xfId="68" applyNumberFormat="1" applyFont="1" applyFill="1" applyBorder="1" applyAlignment="1" applyProtection="1">
      <alignment horizontal="right" vertical="center"/>
      <protection locked="0"/>
    </xf>
    <xf numFmtId="2" fontId="19" fillId="35" borderId="71" xfId="68" applyNumberFormat="1" applyFont="1" applyFill="1" applyBorder="1" applyAlignment="1" applyProtection="1">
      <alignment horizontal="right" vertical="center"/>
      <protection locked="0"/>
    </xf>
    <xf numFmtId="2" fontId="19" fillId="35" borderId="72" xfId="68" applyNumberFormat="1" applyFont="1" applyFill="1" applyBorder="1" applyAlignment="1" applyProtection="1">
      <alignment horizontal="right" vertical="center"/>
      <protection locked="0"/>
    </xf>
    <xf numFmtId="2" fontId="19" fillId="35" borderId="69" xfId="68" applyNumberFormat="1" applyFont="1" applyFill="1" applyBorder="1" applyAlignment="1" applyProtection="1">
      <alignment horizontal="right" vertical="center"/>
      <protection locked="0"/>
    </xf>
    <xf numFmtId="2" fontId="19" fillId="35" borderId="70" xfId="68" applyNumberFormat="1" applyFont="1" applyFill="1" applyBorder="1" applyAlignment="1" applyProtection="1">
      <alignment horizontal="right" vertical="center"/>
      <protection locked="0"/>
    </xf>
    <xf numFmtId="2" fontId="19" fillId="35" borderId="30" xfId="68" applyNumberFormat="1" applyFont="1" applyFill="1" applyBorder="1" applyAlignment="1" applyProtection="1">
      <alignment horizontal="right" vertical="center"/>
      <protection locked="0"/>
    </xf>
    <xf numFmtId="2" fontId="19" fillId="35" borderId="68" xfId="68" applyNumberFormat="1" applyFont="1" applyFill="1" applyBorder="1" applyAlignment="1" applyProtection="1">
      <alignment horizontal="right" vertical="center"/>
      <protection locked="0"/>
    </xf>
    <xf numFmtId="2" fontId="19" fillId="35" borderId="73" xfId="68" applyNumberFormat="1" applyFont="1" applyFill="1" applyBorder="1" applyAlignment="1" applyProtection="1">
      <alignment horizontal="right" vertical="center"/>
      <protection locked="0"/>
    </xf>
    <xf numFmtId="2" fontId="19" fillId="35" borderId="53" xfId="68" applyNumberFormat="1" applyFont="1" applyFill="1" applyBorder="1" applyAlignment="1" applyProtection="1">
      <alignment horizontal="right" vertical="center"/>
      <protection locked="0"/>
    </xf>
    <xf numFmtId="2" fontId="19" fillId="35" borderId="76" xfId="68" applyNumberFormat="1" applyFont="1" applyFill="1" applyBorder="1" applyAlignment="1" applyProtection="1">
      <alignment horizontal="right" vertical="center"/>
      <protection locked="0"/>
    </xf>
    <xf numFmtId="2" fontId="19" fillId="35" borderId="77" xfId="68" applyNumberFormat="1" applyFont="1" applyFill="1" applyBorder="1" applyAlignment="1" applyProtection="1">
      <alignment horizontal="right" vertical="center"/>
      <protection locked="0"/>
    </xf>
    <xf numFmtId="2" fontId="19" fillId="35" borderId="46" xfId="68" applyNumberFormat="1" applyFont="1" applyFill="1" applyBorder="1" applyAlignment="1" applyProtection="1">
      <alignment horizontal="right" vertical="center"/>
      <protection locked="0"/>
    </xf>
    <xf numFmtId="4" fontId="19" fillId="35" borderId="21" xfId="77" applyNumberFormat="1" applyFont="1" applyFill="1" applyBorder="1" applyAlignment="1" applyProtection="1">
      <alignment vertical="center"/>
      <protection locked="0"/>
    </xf>
    <xf numFmtId="4" fontId="19" fillId="35" borderId="76" xfId="77" applyNumberFormat="1" applyFont="1" applyFill="1" applyBorder="1" applyAlignment="1" applyProtection="1">
      <alignment vertical="center"/>
      <protection locked="0"/>
    </xf>
    <xf numFmtId="4" fontId="19" fillId="35" borderId="68" xfId="77" applyNumberFormat="1" applyFont="1" applyFill="1" applyBorder="1" applyAlignment="1" applyProtection="1">
      <alignment vertical="center"/>
      <protection locked="0"/>
    </xf>
    <xf numFmtId="4" fontId="19" fillId="35" borderId="77" xfId="77" applyNumberFormat="1" applyFont="1" applyFill="1" applyBorder="1" applyAlignment="1" applyProtection="1">
      <alignment vertical="center"/>
      <protection locked="0"/>
    </xf>
    <xf numFmtId="4" fontId="19" fillId="35" borderId="74" xfId="77" applyNumberFormat="1" applyFont="1" applyFill="1" applyBorder="1" applyAlignment="1" applyProtection="1">
      <alignment vertical="center"/>
      <protection locked="0"/>
    </xf>
    <xf numFmtId="4" fontId="19" fillId="35" borderId="53" xfId="77" applyNumberFormat="1" applyFont="1" applyFill="1" applyBorder="1" applyAlignment="1" applyProtection="1">
      <alignment vertical="center"/>
      <protection locked="0"/>
    </xf>
    <xf numFmtId="3" fontId="19" fillId="35" borderId="68" xfId="77" applyNumberFormat="1" applyFont="1" applyFill="1" applyBorder="1" applyAlignment="1" applyProtection="1">
      <alignment vertical="center"/>
      <protection locked="0"/>
    </xf>
    <xf numFmtId="3" fontId="19" fillId="35" borderId="77" xfId="77" applyNumberFormat="1" applyFont="1" applyFill="1" applyBorder="1" applyAlignment="1" applyProtection="1">
      <alignment vertical="center"/>
      <protection locked="0"/>
    </xf>
    <xf numFmtId="4" fontId="18" fillId="0" borderId="51" xfId="73" applyNumberFormat="1" applyFont="1" applyBorder="1" applyAlignment="1" applyProtection="1">
      <alignment horizontal="right" vertical="center" wrapText="1"/>
      <protection hidden="1"/>
    </xf>
    <xf numFmtId="4" fontId="18" fillId="0" borderId="51" xfId="76" applyNumberFormat="1" applyFont="1" applyBorder="1" applyAlignment="1" applyProtection="1">
      <alignment horizontal="right" vertical="center" wrapText="1"/>
      <protection hidden="1"/>
    </xf>
    <xf numFmtId="3" fontId="19" fillId="0" borderId="52" xfId="78" applyNumberFormat="1" applyFont="1" applyFill="1" applyBorder="1" applyAlignment="1" applyProtection="1">
      <alignment vertical="center"/>
      <protection/>
    </xf>
    <xf numFmtId="3" fontId="19" fillId="0" borderId="53" xfId="78" applyNumberFormat="1" applyFont="1" applyFill="1" applyBorder="1" applyAlignment="1" applyProtection="1">
      <alignment vertical="center"/>
      <protection/>
    </xf>
    <xf numFmtId="0" fontId="10" fillId="0" borderId="20" xfId="73" applyFont="1" applyBorder="1" applyAlignment="1">
      <alignment vertical="center" wrapText="1"/>
      <protection/>
    </xf>
    <xf numFmtId="0" fontId="10" fillId="0" borderId="20" xfId="73" applyFont="1" applyBorder="1" applyAlignment="1">
      <alignment vertical="center"/>
      <protection/>
    </xf>
    <xf numFmtId="0" fontId="55" fillId="0" borderId="0" xfId="67" applyFont="1" applyAlignment="1">
      <alignment horizontal="left"/>
      <protection/>
    </xf>
    <xf numFmtId="2" fontId="19" fillId="0" borderId="68" xfId="67" applyNumberFormat="1" applyFont="1" applyBorder="1" applyAlignment="1" applyProtection="1">
      <alignment vertical="center"/>
      <protection/>
    </xf>
    <xf numFmtId="0" fontId="59" fillId="0" borderId="0" xfId="68" applyFont="1" applyBorder="1" applyAlignment="1">
      <alignment vertical="center"/>
      <protection/>
    </xf>
    <xf numFmtId="0" fontId="55" fillId="0" borderId="0" xfId="68" applyFont="1" applyAlignment="1">
      <alignment horizontal="left"/>
      <protection/>
    </xf>
    <xf numFmtId="2" fontId="19" fillId="0" borderId="68" xfId="68" applyNumberFormat="1" applyFont="1" applyBorder="1" applyAlignment="1">
      <alignment vertical="center"/>
      <protection/>
    </xf>
    <xf numFmtId="2" fontId="19" fillId="0" borderId="68" xfId="68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4" fontId="19" fillId="35" borderId="65" xfId="73" applyNumberFormat="1" applyFont="1" applyFill="1" applyBorder="1" applyAlignment="1" applyProtection="1">
      <alignment horizontal="right" vertical="center" wrapText="1"/>
      <protection locked="0"/>
    </xf>
    <xf numFmtId="0" fontId="10" fillId="0" borderId="34" xfId="77" applyFont="1" applyBorder="1" applyAlignment="1">
      <alignment horizontal="left" vertical="center"/>
      <protection/>
    </xf>
    <xf numFmtId="0" fontId="5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10" fillId="0" borderId="38" xfId="77" applyFont="1" applyBorder="1" applyAlignment="1">
      <alignment horizontal="left" vertical="center"/>
      <protection/>
    </xf>
    <xf numFmtId="0" fontId="4" fillId="0" borderId="80" xfId="0" applyFont="1" applyBorder="1" applyAlignment="1">
      <alignment horizontal="left" vertical="center" wrapText="1"/>
    </xf>
    <xf numFmtId="0" fontId="10" fillId="0" borderId="81" xfId="77" applyFont="1" applyBorder="1" applyAlignment="1">
      <alignment horizontal="left" vertical="center"/>
      <protection/>
    </xf>
    <xf numFmtId="0" fontId="5" fillId="0" borderId="82" xfId="0" applyFont="1" applyBorder="1" applyAlignment="1">
      <alignment horizontal="left" vertical="center" wrapText="1"/>
    </xf>
    <xf numFmtId="4" fontId="19" fillId="0" borderId="83" xfId="77" applyNumberFormat="1" applyFont="1" applyFill="1" applyBorder="1" applyAlignment="1" applyProtection="1">
      <alignment vertical="center"/>
      <protection/>
    </xf>
    <xf numFmtId="4" fontId="19" fillId="0" borderId="84" xfId="77" applyNumberFormat="1" applyFont="1" applyFill="1" applyBorder="1" applyAlignment="1" applyProtection="1">
      <alignment vertical="center"/>
      <protection/>
    </xf>
    <xf numFmtId="0" fontId="10" fillId="0" borderId="78" xfId="77" applyFont="1" applyBorder="1" applyAlignment="1">
      <alignment vertical="center"/>
      <protection/>
    </xf>
    <xf numFmtId="4" fontId="19" fillId="0" borderId="46" xfId="77" applyNumberFormat="1" applyFont="1" applyFill="1" applyBorder="1" applyAlignment="1" applyProtection="1">
      <alignment vertical="center"/>
      <protection/>
    </xf>
    <xf numFmtId="4" fontId="19" fillId="0" borderId="73" xfId="77" applyNumberFormat="1" applyFont="1" applyFill="1" applyBorder="1" applyAlignment="1" applyProtection="1">
      <alignment vertical="center"/>
      <protection/>
    </xf>
    <xf numFmtId="4" fontId="19" fillId="35" borderId="23" xfId="77" applyNumberFormat="1" applyFont="1" applyFill="1" applyBorder="1" applyAlignment="1" applyProtection="1">
      <alignment vertical="center"/>
      <protection locked="0"/>
    </xf>
    <xf numFmtId="4" fontId="19" fillId="35" borderId="85" xfId="77" applyNumberFormat="1" applyFont="1" applyFill="1" applyBorder="1" applyAlignment="1" applyProtection="1">
      <alignment vertical="center"/>
      <protection locked="0"/>
    </xf>
    <xf numFmtId="4" fontId="19" fillId="0" borderId="31" xfId="77" applyNumberFormat="1" applyFont="1" applyBorder="1" applyAlignment="1" applyProtection="1">
      <alignment vertical="center"/>
      <protection/>
    </xf>
    <xf numFmtId="4" fontId="19" fillId="0" borderId="77" xfId="77" applyNumberFormat="1" applyFont="1" applyBorder="1" applyAlignment="1" applyProtection="1">
      <alignment vertical="center"/>
      <protection/>
    </xf>
    <xf numFmtId="4" fontId="19" fillId="35" borderId="46" xfId="77" applyNumberFormat="1" applyFont="1" applyFill="1" applyBorder="1" applyAlignment="1" applyProtection="1">
      <alignment vertical="center"/>
      <protection locked="0"/>
    </xf>
    <xf numFmtId="0" fontId="16" fillId="0" borderId="77" xfId="77" applyFont="1" applyBorder="1" applyAlignment="1">
      <alignment vertical="center"/>
      <protection/>
    </xf>
    <xf numFmtId="49" fontId="13" fillId="0" borderId="21" xfId="77" applyNumberFormat="1" applyFont="1" applyBorder="1" applyAlignment="1">
      <alignment vertical="center"/>
      <protection/>
    </xf>
    <xf numFmtId="0" fontId="23" fillId="0" borderId="24" xfId="75" applyFont="1" applyBorder="1">
      <alignment/>
      <protection/>
    </xf>
    <xf numFmtId="0" fontId="10" fillId="0" borderId="21" xfId="75" applyFont="1" applyBorder="1" applyAlignment="1">
      <alignment vertical="center" wrapText="1"/>
      <protection/>
    </xf>
    <xf numFmtId="4" fontId="19" fillId="35" borderId="67" xfId="73" applyNumberFormat="1" applyFont="1" applyFill="1" applyBorder="1" applyAlignment="1" applyProtection="1">
      <alignment horizontal="right" vertical="center" wrapText="1"/>
      <protection locked="0"/>
    </xf>
    <xf numFmtId="4" fontId="19" fillId="35" borderId="23" xfId="73" applyNumberFormat="1" applyFont="1" applyFill="1" applyBorder="1" applyAlignment="1" applyProtection="1">
      <alignment horizontal="right" vertical="center" wrapText="1"/>
      <protection locked="0"/>
    </xf>
    <xf numFmtId="0" fontId="34" fillId="0" borderId="25" xfId="73" applyFont="1" applyBorder="1" applyAlignment="1">
      <alignment horizontal="left" vertical="center" wrapText="1"/>
      <protection/>
    </xf>
    <xf numFmtId="4" fontId="19" fillId="35" borderId="86" xfId="73" applyNumberFormat="1" applyFont="1" applyFill="1" applyBorder="1" applyAlignment="1" applyProtection="1">
      <alignment horizontal="right" vertical="center" wrapText="1"/>
      <protection locked="0"/>
    </xf>
    <xf numFmtId="0" fontId="10" fillId="0" borderId="23" xfId="73" applyFont="1" applyBorder="1" applyAlignment="1">
      <alignment vertical="center"/>
      <protection/>
    </xf>
    <xf numFmtId="0" fontId="74" fillId="0" borderId="65" xfId="0" applyFont="1" applyBorder="1" applyAlignment="1">
      <alignment/>
    </xf>
    <xf numFmtId="0" fontId="0" fillId="35" borderId="67" xfId="0" applyFill="1" applyBorder="1" applyAlignment="1" applyProtection="1">
      <alignment horizontal="left" vertical="top" wrapText="1"/>
      <protection locked="0"/>
    </xf>
    <xf numFmtId="0" fontId="4" fillId="35" borderId="19" xfId="78" applyFont="1" applyFill="1" applyBorder="1" applyAlignment="1" applyProtection="1">
      <alignment vertical="center"/>
      <protection locked="0"/>
    </xf>
    <xf numFmtId="0" fontId="4" fillId="35" borderId="87" xfId="78" applyFont="1" applyFill="1" applyBorder="1" applyAlignment="1" applyProtection="1">
      <alignment vertical="center"/>
      <protection locked="0"/>
    </xf>
    <xf numFmtId="3" fontId="19" fillId="0" borderId="55" xfId="78" applyNumberFormat="1" applyFont="1" applyBorder="1" applyAlignment="1" applyProtection="1">
      <alignment vertical="center"/>
      <protection/>
    </xf>
    <xf numFmtId="3" fontId="19" fillId="0" borderId="0" xfId="78" applyNumberFormat="1" applyFont="1" applyBorder="1" applyAlignment="1">
      <alignment vertical="center"/>
      <protection/>
    </xf>
    <xf numFmtId="3" fontId="19" fillId="0" borderId="88" xfId="78" applyNumberFormat="1" applyFont="1" applyBorder="1" applyAlignment="1" applyProtection="1">
      <alignment vertical="center"/>
      <protection/>
    </xf>
    <xf numFmtId="3" fontId="19" fillId="0" borderId="57" xfId="78" applyNumberFormat="1" applyFont="1" applyBorder="1" applyAlignment="1" applyProtection="1">
      <alignment vertical="center"/>
      <protection/>
    </xf>
    <xf numFmtId="3" fontId="19" fillId="0" borderId="59" xfId="78" applyNumberFormat="1" applyFont="1" applyBorder="1" applyAlignment="1" applyProtection="1">
      <alignment vertical="center"/>
      <protection/>
    </xf>
    <xf numFmtId="3" fontId="19" fillId="0" borderId="51" xfId="78" applyNumberFormat="1" applyFont="1" applyFill="1" applyBorder="1" applyAlignment="1" applyProtection="1">
      <alignment vertical="center"/>
      <protection/>
    </xf>
    <xf numFmtId="3" fontId="19" fillId="0" borderId="89" xfId="78" applyNumberFormat="1" applyFont="1" applyBorder="1" applyAlignment="1">
      <alignment vertical="center"/>
      <protection/>
    </xf>
    <xf numFmtId="3" fontId="19" fillId="0" borderId="54" xfId="78" applyNumberFormat="1" applyFont="1" applyFill="1" applyBorder="1" applyAlignment="1" applyProtection="1">
      <alignment vertical="center"/>
      <protection/>
    </xf>
    <xf numFmtId="4" fontId="19" fillId="0" borderId="0" xfId="78" applyNumberFormat="1" applyFont="1" applyBorder="1" applyAlignment="1">
      <alignment vertical="center"/>
      <protection/>
    </xf>
    <xf numFmtId="4" fontId="19" fillId="0" borderId="0" xfId="81" applyNumberFormat="1" applyFont="1" applyBorder="1" applyAlignment="1">
      <alignment vertical="center"/>
    </xf>
    <xf numFmtId="4" fontId="19" fillId="34" borderId="66" xfId="0" applyNumberFormat="1" applyFont="1" applyFill="1" applyBorder="1" applyAlignment="1" applyProtection="1">
      <alignment horizontal="center" vertical="center"/>
      <protection/>
    </xf>
    <xf numFmtId="4" fontId="19" fillId="35" borderId="66" xfId="73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73" applyFont="1" applyBorder="1" applyAlignment="1">
      <alignment vertical="top" wrapText="1" shrinkToFit="1"/>
      <protection/>
    </xf>
    <xf numFmtId="0" fontId="23" fillId="0" borderId="20" xfId="76" applyFont="1" applyBorder="1" applyAlignment="1">
      <alignment/>
      <protection/>
    </xf>
    <xf numFmtId="4" fontId="19" fillId="34" borderId="53" xfId="74" applyNumberFormat="1" applyFont="1" applyFill="1" applyBorder="1" applyAlignment="1" applyProtection="1">
      <alignment horizontal="right" vertical="center" wrapText="1"/>
      <protection/>
    </xf>
    <xf numFmtId="0" fontId="0" fillId="35" borderId="65" xfId="0" applyFill="1" applyBorder="1" applyAlignment="1" applyProtection="1">
      <alignment horizontal="left" vertical="top" wrapText="1"/>
      <protection locked="0"/>
    </xf>
    <xf numFmtId="0" fontId="0" fillId="35" borderId="66" xfId="0" applyFill="1" applyBorder="1" applyAlignment="1" applyProtection="1">
      <alignment horizontal="left" vertical="top" wrapText="1"/>
      <protection locked="0"/>
    </xf>
    <xf numFmtId="4" fontId="19" fillId="35" borderId="0" xfId="0" applyNumberFormat="1" applyFont="1" applyFill="1" applyAlignment="1" applyProtection="1">
      <alignment horizontal="center"/>
      <protection locked="0"/>
    </xf>
    <xf numFmtId="0" fontId="10" fillId="0" borderId="27" xfId="73" applyFont="1" applyBorder="1" applyAlignment="1">
      <alignment wrapText="1"/>
      <protection/>
    </xf>
    <xf numFmtId="0" fontId="10" fillId="0" borderId="24" xfId="73" applyFont="1" applyBorder="1" applyAlignment="1">
      <alignment wrapText="1"/>
      <protection/>
    </xf>
    <xf numFmtId="0" fontId="18" fillId="34" borderId="67" xfId="73" applyFont="1" applyFill="1" applyBorder="1" applyAlignment="1">
      <alignment vertical="center"/>
      <protection/>
    </xf>
    <xf numFmtId="49" fontId="55" fillId="0" borderId="0" xfId="70" applyNumberFormat="1" applyFont="1" applyBorder="1" applyAlignment="1">
      <alignment horizontal="left"/>
      <protection/>
    </xf>
    <xf numFmtId="0" fontId="19" fillId="0" borderId="0" xfId="70" applyFont="1" applyBorder="1" applyAlignment="1">
      <alignment horizontal="left"/>
      <protection/>
    </xf>
    <xf numFmtId="0" fontId="18" fillId="34" borderId="66" xfId="73" applyFont="1" applyFill="1" applyBorder="1" applyAlignment="1">
      <alignment vertical="center"/>
      <protection/>
    </xf>
    <xf numFmtId="0" fontId="10" fillId="0" borderId="23" xfId="70" applyFont="1" applyBorder="1">
      <alignment/>
      <protection/>
    </xf>
    <xf numFmtId="0" fontId="10" fillId="0" borderId="40" xfId="70" applyFont="1" applyFill="1" applyBorder="1">
      <alignment/>
      <protection/>
    </xf>
    <xf numFmtId="4" fontId="19" fillId="0" borderId="40" xfId="70" applyNumberFormat="1" applyFont="1" applyFill="1" applyBorder="1" applyAlignment="1" applyProtection="1">
      <alignment horizontal="right" vertical="center"/>
      <protection locked="0"/>
    </xf>
    <xf numFmtId="0" fontId="18" fillId="0" borderId="40" xfId="73" applyFont="1" applyFill="1" applyBorder="1" applyAlignment="1">
      <alignment vertical="center"/>
      <protection/>
    </xf>
    <xf numFmtId="4" fontId="19" fillId="0" borderId="40" xfId="70" applyNumberFormat="1" applyFont="1" applyFill="1" applyBorder="1" applyAlignment="1" applyProtection="1">
      <alignment horizontal="right" vertical="center"/>
      <protection/>
    </xf>
    <xf numFmtId="0" fontId="18" fillId="34" borderId="65" xfId="73" applyFont="1" applyFill="1" applyBorder="1" applyAlignment="1">
      <alignment vertical="center"/>
      <protection/>
    </xf>
    <xf numFmtId="4" fontId="19" fillId="35" borderId="65" xfId="74" applyNumberFormat="1" applyFont="1" applyFill="1" applyBorder="1" applyAlignment="1" applyProtection="1">
      <alignment horizontal="right" vertical="center" wrapText="1"/>
      <protection locked="0"/>
    </xf>
    <xf numFmtId="4" fontId="19" fillId="35" borderId="65" xfId="75" applyNumberFormat="1" applyFont="1" applyFill="1" applyBorder="1" applyAlignment="1" applyProtection="1">
      <alignment horizontal="right" vertical="center"/>
      <protection locked="0"/>
    </xf>
    <xf numFmtId="0" fontId="10" fillId="0" borderId="26" xfId="76" applyFont="1" applyBorder="1" applyAlignment="1">
      <alignment vertical="center" wrapText="1"/>
      <protection/>
    </xf>
    <xf numFmtId="49" fontId="10" fillId="0" borderId="0" xfId="74" applyNumberFormat="1" applyFont="1" applyBorder="1" applyAlignment="1">
      <alignment horizontal="left"/>
      <protection/>
    </xf>
    <xf numFmtId="49" fontId="10" fillId="0" borderId="0" xfId="74" applyNumberFormat="1" applyFont="1" applyBorder="1">
      <alignment/>
      <protection/>
    </xf>
    <xf numFmtId="4" fontId="18" fillId="34" borderId="67" xfId="73" applyNumberFormat="1" applyFont="1" applyFill="1" applyBorder="1" applyAlignment="1">
      <alignment vertical="center"/>
      <protection/>
    </xf>
    <xf numFmtId="4" fontId="19" fillId="0" borderId="40" xfId="74" applyNumberFormat="1" applyFont="1" applyFill="1" applyBorder="1" applyAlignment="1" applyProtection="1">
      <alignment horizontal="right" vertical="center"/>
      <protection locked="0"/>
    </xf>
    <xf numFmtId="4" fontId="19" fillId="0" borderId="40" xfId="74" applyNumberFormat="1" applyFont="1" applyFill="1" applyBorder="1" applyAlignment="1" applyProtection="1">
      <alignment horizontal="right" vertical="center"/>
      <protection/>
    </xf>
    <xf numFmtId="4" fontId="18" fillId="34" borderId="65" xfId="73" applyNumberFormat="1" applyFont="1" applyFill="1" applyBorder="1" applyAlignment="1">
      <alignment vertical="center"/>
      <protection/>
    </xf>
    <xf numFmtId="4" fontId="18" fillId="34" borderId="66" xfId="73" applyNumberFormat="1" applyFont="1" applyFill="1" applyBorder="1" applyAlignment="1">
      <alignment vertical="center"/>
      <protection/>
    </xf>
    <xf numFmtId="4" fontId="19" fillId="35" borderId="53" xfId="74" applyNumberFormat="1" applyFont="1" applyFill="1" applyBorder="1" applyAlignment="1" applyProtection="1">
      <alignment horizontal="right" vertical="center"/>
      <protection locked="0"/>
    </xf>
    <xf numFmtId="2" fontId="19" fillId="35" borderId="66" xfId="68" applyNumberFormat="1" applyFont="1" applyFill="1" applyBorder="1" applyAlignment="1" applyProtection="1">
      <alignment horizontal="right" vertical="center"/>
      <protection locked="0"/>
    </xf>
    <xf numFmtId="2" fontId="19" fillId="35" borderId="90" xfId="68" applyNumberFormat="1" applyFont="1" applyFill="1" applyBorder="1" applyAlignment="1" applyProtection="1">
      <alignment horizontal="right" vertical="center"/>
      <protection locked="0"/>
    </xf>
    <xf numFmtId="4" fontId="19" fillId="0" borderId="53" xfId="73" applyNumberFormat="1" applyFont="1" applyBorder="1" applyAlignment="1" applyProtection="1">
      <alignment horizontal="right" vertical="center" wrapText="1"/>
      <protection/>
    </xf>
    <xf numFmtId="4" fontId="19" fillId="35" borderId="53" xfId="75" applyNumberFormat="1" applyFont="1" applyFill="1" applyBorder="1" applyAlignment="1" applyProtection="1">
      <alignment horizontal="right" vertical="center" wrapText="1"/>
      <protection locked="0"/>
    </xf>
    <xf numFmtId="0" fontId="77" fillId="0" borderId="53" xfId="6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0" fontId="0" fillId="0" borderId="0" xfId="60" applyFont="1" applyFill="1" applyProtection="1">
      <alignment/>
      <protection/>
    </xf>
    <xf numFmtId="0" fontId="77" fillId="0" borderId="0" xfId="60" applyFont="1" applyFill="1" applyProtection="1">
      <alignment/>
      <protection/>
    </xf>
    <xf numFmtId="4" fontId="77" fillId="0" borderId="66" xfId="60" applyNumberFormat="1" applyFont="1" applyFill="1" applyBorder="1" applyAlignment="1" applyProtection="1">
      <alignment horizontal="right" vertical="center"/>
      <protection/>
    </xf>
    <xf numFmtId="4" fontId="77" fillId="0" borderId="65" xfId="60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Protection="1">
      <alignment/>
      <protection/>
    </xf>
    <xf numFmtId="0" fontId="0" fillId="0" borderId="91" xfId="60" applyFont="1" applyFill="1" applyBorder="1" applyProtection="1">
      <alignment/>
      <protection/>
    </xf>
    <xf numFmtId="0" fontId="78" fillId="0" borderId="0" xfId="60" applyFont="1" applyFill="1" applyBorder="1" applyAlignment="1" applyProtection="1">
      <alignment horizontal="center" vertical="center" wrapText="1"/>
      <protection/>
    </xf>
    <xf numFmtId="0" fontId="80" fillId="0" borderId="38" xfId="60" applyFont="1" applyFill="1" applyBorder="1" applyAlignment="1" applyProtection="1">
      <alignment horizontal="left" vertical="center" wrapText="1"/>
      <protection/>
    </xf>
    <xf numFmtId="4" fontId="78" fillId="0" borderId="0" xfId="60" applyNumberFormat="1" applyFont="1" applyFill="1" applyBorder="1" applyAlignment="1" applyProtection="1">
      <alignment horizontal="center" vertical="center" wrapText="1"/>
      <protection/>
    </xf>
    <xf numFmtId="0" fontId="79" fillId="0" borderId="38" xfId="60" applyFont="1" applyFill="1" applyBorder="1" applyAlignment="1" applyProtection="1">
      <alignment horizontal="left" vertical="center" wrapText="1"/>
      <protection/>
    </xf>
    <xf numFmtId="0" fontId="79" fillId="0" borderId="38" xfId="60" applyFont="1" applyFill="1" applyBorder="1" applyAlignment="1" applyProtection="1">
      <alignment horizontal="left" vertical="center"/>
      <protection/>
    </xf>
    <xf numFmtId="0" fontId="0" fillId="0" borderId="0" xfId="60" applyFont="1" applyFill="1" applyBorder="1" applyAlignment="1" applyProtection="1" quotePrefix="1">
      <alignment horizontal="center" vertical="center" wrapText="1"/>
      <protection/>
    </xf>
    <xf numFmtId="0" fontId="0" fillId="0" borderId="38" xfId="60" applyFont="1" applyFill="1" applyBorder="1" applyProtection="1">
      <alignment/>
      <protection/>
    </xf>
    <xf numFmtId="0" fontId="0" fillId="0" borderId="92" xfId="60" applyFont="1" applyFill="1" applyBorder="1" applyProtection="1">
      <alignment/>
      <protection/>
    </xf>
    <xf numFmtId="0" fontId="77" fillId="0" borderId="53" xfId="60" applyFont="1" applyFill="1" applyBorder="1" applyAlignment="1" applyProtection="1">
      <alignment vertical="center"/>
      <protection/>
    </xf>
    <xf numFmtId="0" fontId="0" fillId="0" borderId="53" xfId="60" applyFont="1" applyFill="1" applyBorder="1" applyAlignment="1" applyProtection="1">
      <alignment vertical="top" wrapText="1"/>
      <protection/>
    </xf>
    <xf numFmtId="0" fontId="0" fillId="0" borderId="48" xfId="60" applyFont="1" applyFill="1" applyBorder="1" applyProtection="1">
      <alignment/>
      <protection/>
    </xf>
    <xf numFmtId="0" fontId="0" fillId="0" borderId="16" xfId="60" applyFont="1" applyFill="1" applyBorder="1" applyProtection="1">
      <alignment/>
      <protection/>
    </xf>
    <xf numFmtId="4" fontId="0" fillId="0" borderId="48" xfId="60" applyNumberFormat="1" applyFont="1" applyFill="1" applyBorder="1" applyProtection="1">
      <alignment/>
      <protection/>
    </xf>
    <xf numFmtId="3" fontId="77" fillId="0" borderId="53" xfId="60" applyNumberFormat="1" applyFont="1" applyFill="1" applyBorder="1" applyAlignment="1" applyProtection="1">
      <alignment horizontal="right" vertical="center"/>
      <protection/>
    </xf>
    <xf numFmtId="2" fontId="77" fillId="0" borderId="53" xfId="60" applyNumberFormat="1" applyFont="1" applyFill="1" applyBorder="1" applyAlignment="1" applyProtection="1">
      <alignment horizontal="right" vertical="center"/>
      <protection/>
    </xf>
    <xf numFmtId="4" fontId="77" fillId="0" borderId="53" xfId="60" applyNumberFormat="1" applyFont="1" applyFill="1" applyBorder="1" applyAlignment="1" applyProtection="1">
      <alignment horizontal="right" vertical="center"/>
      <protection/>
    </xf>
    <xf numFmtId="0" fontId="77" fillId="0" borderId="53" xfId="0" applyFont="1" applyBorder="1" applyAlignment="1">
      <alignment/>
    </xf>
    <xf numFmtId="2" fontId="77" fillId="0" borderId="53" xfId="0" applyNumberFormat="1" applyFont="1" applyBorder="1" applyAlignment="1">
      <alignment/>
    </xf>
    <xf numFmtId="3" fontId="19" fillId="0" borderId="65" xfId="78" applyNumberFormat="1" applyFont="1" applyFill="1" applyBorder="1" applyAlignment="1" applyProtection="1">
      <alignment vertical="center"/>
      <protection/>
    </xf>
    <xf numFmtId="0" fontId="19" fillId="36" borderId="51" xfId="78" applyFont="1" applyFill="1" applyBorder="1" applyAlignment="1">
      <alignment vertical="center"/>
      <protection/>
    </xf>
    <xf numFmtId="4" fontId="19" fillId="36" borderId="55" xfId="81" applyNumberFormat="1" applyFont="1" applyFill="1" applyBorder="1" applyAlignment="1" applyProtection="1">
      <alignment vertical="center"/>
      <protection locked="0"/>
    </xf>
    <xf numFmtId="1" fontId="19" fillId="37" borderId="65" xfId="79" applyNumberFormat="1" applyFont="1" applyFill="1" applyBorder="1" applyAlignment="1" applyProtection="1">
      <alignment vertical="center"/>
      <protection locked="0"/>
    </xf>
    <xf numFmtId="4" fontId="19" fillId="37" borderId="53" xfId="75" applyNumberFormat="1" applyFont="1" applyFill="1" applyBorder="1" applyAlignment="1" applyProtection="1">
      <alignment horizontal="right" vertical="center"/>
      <protection locked="0"/>
    </xf>
    <xf numFmtId="4" fontId="19" fillId="37" borderId="53" xfId="74" applyNumberFormat="1" applyFont="1" applyFill="1" applyBorder="1" applyAlignment="1" applyProtection="1">
      <alignment horizontal="right" vertical="center" wrapText="1"/>
      <protection locked="0"/>
    </xf>
    <xf numFmtId="4" fontId="19" fillId="37" borderId="53" xfId="73" applyNumberFormat="1" applyFont="1" applyFill="1" applyBorder="1" applyAlignment="1" applyProtection="1">
      <alignment horizontal="right" vertical="center"/>
      <protection locked="0"/>
    </xf>
    <xf numFmtId="4" fontId="19" fillId="37" borderId="53" xfId="73" applyNumberFormat="1" applyFont="1" applyFill="1" applyBorder="1" applyAlignment="1" applyProtection="1">
      <alignment horizontal="right" vertical="center" wrapText="1"/>
      <protection locked="0"/>
    </xf>
    <xf numFmtId="4" fontId="19" fillId="37" borderId="65" xfId="73" applyNumberFormat="1" applyFont="1" applyFill="1" applyBorder="1" applyAlignment="1" applyProtection="1">
      <alignment horizontal="right" vertical="center" wrapText="1"/>
      <protection locked="0"/>
    </xf>
    <xf numFmtId="4" fontId="19" fillId="37" borderId="67" xfId="73" applyNumberFormat="1" applyFont="1" applyFill="1" applyBorder="1" applyAlignment="1" applyProtection="1">
      <alignment horizontal="right" vertical="center" wrapText="1"/>
      <protection locked="0"/>
    </xf>
    <xf numFmtId="4" fontId="19" fillId="37" borderId="53" xfId="72" applyNumberFormat="1" applyFont="1" applyFill="1" applyBorder="1" applyAlignment="1" applyProtection="1">
      <alignment horizontal="right" vertical="center" wrapText="1"/>
      <protection locked="0"/>
    </xf>
    <xf numFmtId="4" fontId="19" fillId="37" borderId="53" xfId="71" applyNumberFormat="1" applyFont="1" applyFill="1" applyBorder="1" applyAlignment="1" applyProtection="1">
      <alignment horizontal="right" vertical="center" wrapText="1"/>
      <protection locked="0"/>
    </xf>
    <xf numFmtId="4" fontId="19" fillId="37" borderId="65" xfId="71" applyNumberFormat="1" applyFont="1" applyFill="1" applyBorder="1" applyAlignment="1" applyProtection="1">
      <alignment horizontal="right" vertical="center" wrapText="1"/>
      <protection locked="0"/>
    </xf>
    <xf numFmtId="1" fontId="19" fillId="37" borderId="49" xfId="79" applyNumberFormat="1" applyFont="1" applyFill="1" applyBorder="1" applyAlignment="1" applyProtection="1">
      <alignment vertical="center"/>
      <protection locked="0"/>
    </xf>
    <xf numFmtId="1" fontId="19" fillId="37" borderId="93" xfId="79" applyNumberFormat="1" applyFont="1" applyFill="1" applyBorder="1" applyAlignment="1" applyProtection="1">
      <alignment vertical="center"/>
      <protection locked="0"/>
    </xf>
    <xf numFmtId="1" fontId="19" fillId="37" borderId="56" xfId="79" applyNumberFormat="1" applyFont="1" applyFill="1" applyBorder="1" applyAlignment="1" applyProtection="1">
      <alignment vertical="center"/>
      <protection locked="0"/>
    </xf>
    <xf numFmtId="1" fontId="19" fillId="37" borderId="19" xfId="79" applyNumberFormat="1" applyFont="1" applyFill="1" applyBorder="1" applyAlignment="1" applyProtection="1">
      <alignment vertical="center"/>
      <protection locked="0"/>
    </xf>
    <xf numFmtId="1" fontId="19" fillId="37" borderId="53" xfId="79" applyNumberFormat="1" applyFont="1" applyFill="1" applyBorder="1" applyAlignment="1" applyProtection="1">
      <alignment vertical="center"/>
      <protection locked="0"/>
    </xf>
    <xf numFmtId="1" fontId="19" fillId="37" borderId="57" xfId="79" applyNumberFormat="1" applyFont="1" applyFill="1" applyBorder="1" applyAlignment="1" applyProtection="1">
      <alignment vertical="center"/>
      <protection locked="0"/>
    </xf>
    <xf numFmtId="1" fontId="19" fillId="37" borderId="50" xfId="79" applyNumberFormat="1" applyFont="1" applyFill="1" applyBorder="1" applyAlignment="1" applyProtection="1">
      <alignment vertical="center"/>
      <protection locked="0"/>
    </xf>
    <xf numFmtId="1" fontId="19" fillId="37" borderId="58" xfId="79" applyNumberFormat="1" applyFont="1" applyFill="1" applyBorder="1" applyAlignment="1" applyProtection="1">
      <alignment vertical="center"/>
      <protection locked="0"/>
    </xf>
    <xf numFmtId="1" fontId="19" fillId="37" borderId="87" xfId="79" applyNumberFormat="1" applyFont="1" applyFill="1" applyBorder="1" applyAlignment="1" applyProtection="1">
      <alignment vertical="center"/>
      <protection locked="0"/>
    </xf>
    <xf numFmtId="1" fontId="19" fillId="37" borderId="54" xfId="79" applyNumberFormat="1" applyFont="1" applyFill="1" applyBorder="1" applyAlignment="1" applyProtection="1">
      <alignment vertical="center"/>
      <protection locked="0"/>
    </xf>
    <xf numFmtId="1" fontId="19" fillId="37" borderId="59" xfId="79" applyNumberFormat="1" applyFont="1" applyFill="1" applyBorder="1" applyAlignment="1" applyProtection="1">
      <alignment vertical="center"/>
      <protection locked="0"/>
    </xf>
    <xf numFmtId="1" fontId="19" fillId="37" borderId="51" xfId="78" applyNumberFormat="1" applyFont="1" applyFill="1" applyBorder="1" applyAlignment="1" applyProtection="1">
      <alignment vertical="center"/>
      <protection locked="0"/>
    </xf>
    <xf numFmtId="1" fontId="19" fillId="37" borderId="52" xfId="78" applyNumberFormat="1" applyFont="1" applyFill="1" applyBorder="1" applyAlignment="1" applyProtection="1">
      <alignment vertical="center"/>
      <protection locked="0"/>
    </xf>
    <xf numFmtId="1" fontId="19" fillId="37" borderId="53" xfId="78" applyNumberFormat="1" applyFont="1" applyFill="1" applyBorder="1" applyAlignment="1" applyProtection="1">
      <alignment vertical="center"/>
      <protection locked="0"/>
    </xf>
    <xf numFmtId="1" fontId="19" fillId="37" borderId="54" xfId="78" applyNumberFormat="1" applyFont="1" applyFill="1" applyBorder="1" applyAlignment="1" applyProtection="1">
      <alignment vertical="center"/>
      <protection locked="0"/>
    </xf>
    <xf numFmtId="3" fontId="19" fillId="37" borderId="17" xfId="78" applyNumberFormat="1" applyFont="1" applyFill="1" applyBorder="1" applyAlignment="1" applyProtection="1">
      <alignment vertical="center"/>
      <protection locked="0"/>
    </xf>
    <xf numFmtId="3" fontId="19" fillId="37" borderId="51" xfId="78" applyNumberFormat="1" applyFont="1" applyFill="1" applyBorder="1" applyAlignment="1" applyProtection="1">
      <alignment vertical="center"/>
      <protection locked="0"/>
    </xf>
    <xf numFmtId="3" fontId="19" fillId="37" borderId="55" xfId="78" applyNumberFormat="1" applyFont="1" applyFill="1" applyBorder="1" applyAlignment="1" applyProtection="1">
      <alignment vertical="center"/>
      <protection locked="0"/>
    </xf>
    <xf numFmtId="3" fontId="19" fillId="37" borderId="18" xfId="78" applyNumberFormat="1" applyFont="1" applyFill="1" applyBorder="1" applyAlignment="1" applyProtection="1">
      <alignment vertical="center"/>
      <protection locked="0"/>
    </xf>
    <xf numFmtId="3" fontId="19" fillId="37" borderId="52" xfId="78" applyNumberFormat="1" applyFont="1" applyFill="1" applyBorder="1" applyAlignment="1" applyProtection="1">
      <alignment vertical="center"/>
      <protection locked="0"/>
    </xf>
    <xf numFmtId="3" fontId="19" fillId="37" borderId="88" xfId="78" applyNumberFormat="1" applyFont="1" applyFill="1" applyBorder="1" applyAlignment="1" applyProtection="1">
      <alignment vertical="center"/>
      <protection locked="0"/>
    </xf>
    <xf numFmtId="3" fontId="19" fillId="37" borderId="19" xfId="78" applyNumberFormat="1" applyFont="1" applyFill="1" applyBorder="1" applyAlignment="1" applyProtection="1">
      <alignment vertical="center"/>
      <protection locked="0"/>
    </xf>
    <xf numFmtId="3" fontId="19" fillId="37" borderId="53" xfId="78" applyNumberFormat="1" applyFont="1" applyFill="1" applyBorder="1" applyAlignment="1" applyProtection="1">
      <alignment vertical="center"/>
      <protection locked="0"/>
    </xf>
    <xf numFmtId="3" fontId="19" fillId="37" borderId="57" xfId="78" applyNumberFormat="1" applyFont="1" applyFill="1" applyBorder="1" applyAlignment="1" applyProtection="1">
      <alignment vertical="center"/>
      <protection locked="0"/>
    </xf>
    <xf numFmtId="0" fontId="19" fillId="37" borderId="52" xfId="78" applyFont="1" applyFill="1" applyBorder="1" applyAlignment="1" applyProtection="1">
      <alignment vertical="center"/>
      <protection locked="0"/>
    </xf>
    <xf numFmtId="3" fontId="19" fillId="37" borderId="94" xfId="78" applyNumberFormat="1" applyFont="1" applyFill="1" applyBorder="1" applyAlignment="1" applyProtection="1">
      <alignment vertical="center"/>
      <protection locked="0"/>
    </xf>
    <xf numFmtId="3" fontId="19" fillId="37" borderId="95" xfId="78" applyNumberFormat="1" applyFont="1" applyFill="1" applyBorder="1" applyAlignment="1" applyProtection="1">
      <alignment vertical="center"/>
      <protection locked="0"/>
    </xf>
    <xf numFmtId="0" fontId="19" fillId="37" borderId="53" xfId="78" applyFont="1" applyFill="1" applyBorder="1" applyAlignment="1" applyProtection="1">
      <alignment vertical="center"/>
      <protection locked="0"/>
    </xf>
    <xf numFmtId="3" fontId="19" fillId="37" borderId="66" xfId="78" applyNumberFormat="1" applyFont="1" applyFill="1" applyBorder="1" applyAlignment="1" applyProtection="1">
      <alignment vertical="center"/>
      <protection locked="0"/>
    </xf>
    <xf numFmtId="3" fontId="19" fillId="37" borderId="21" xfId="78" applyNumberFormat="1" applyFont="1" applyFill="1" applyBorder="1" applyAlignment="1" applyProtection="1">
      <alignment vertical="center"/>
      <protection locked="0"/>
    </xf>
    <xf numFmtId="3" fontId="19" fillId="37" borderId="20" xfId="78" applyNumberFormat="1" applyFont="1" applyFill="1" applyBorder="1" applyAlignment="1" applyProtection="1">
      <alignment vertical="center"/>
      <protection locked="0"/>
    </xf>
    <xf numFmtId="3" fontId="19" fillId="37" borderId="65" xfId="78" applyNumberFormat="1" applyFont="1" applyFill="1" applyBorder="1" applyAlignment="1" applyProtection="1">
      <alignment vertical="center"/>
      <protection locked="0"/>
    </xf>
    <xf numFmtId="0" fontId="19" fillId="37" borderId="54" xfId="78" applyFont="1" applyFill="1" applyBorder="1" applyAlignment="1" applyProtection="1">
      <alignment vertical="center"/>
      <protection locked="0"/>
    </xf>
    <xf numFmtId="3" fontId="19" fillId="37" borderId="54" xfId="78" applyNumberFormat="1" applyFont="1" applyFill="1" applyBorder="1" applyAlignment="1" applyProtection="1">
      <alignment vertical="center"/>
      <protection locked="0"/>
    </xf>
    <xf numFmtId="3" fontId="19" fillId="37" borderId="96" xfId="78" applyNumberFormat="1" applyFont="1" applyFill="1" applyBorder="1" applyAlignment="1" applyProtection="1">
      <alignment vertical="center"/>
      <protection locked="0"/>
    </xf>
    <xf numFmtId="4" fontId="19" fillId="37" borderId="51" xfId="78" applyNumberFormat="1" applyFont="1" applyFill="1" applyBorder="1" applyAlignment="1" applyProtection="1">
      <alignment vertical="center"/>
      <protection locked="0"/>
    </xf>
    <xf numFmtId="4" fontId="19" fillId="37" borderId="52" xfId="78" applyNumberFormat="1" applyFont="1" applyFill="1" applyBorder="1" applyAlignment="1" applyProtection="1">
      <alignment vertical="center"/>
      <protection locked="0"/>
    </xf>
    <xf numFmtId="10" fontId="19" fillId="37" borderId="88" xfId="81" applyNumberFormat="1" applyFont="1" applyFill="1" applyBorder="1" applyAlignment="1" applyProtection="1">
      <alignment vertical="center"/>
      <protection locked="0"/>
    </xf>
    <xf numFmtId="4" fontId="19" fillId="37" borderId="53" xfId="78" applyNumberFormat="1" applyFont="1" applyFill="1" applyBorder="1" applyAlignment="1" applyProtection="1">
      <alignment vertical="center"/>
      <protection locked="0"/>
    </xf>
    <xf numFmtId="10" fontId="19" fillId="37" borderId="57" xfId="81" applyNumberFormat="1" applyFont="1" applyFill="1" applyBorder="1" applyAlignment="1" applyProtection="1">
      <alignment vertical="center"/>
      <protection locked="0"/>
    </xf>
    <xf numFmtId="4" fontId="19" fillId="37" borderId="54" xfId="78" applyNumberFormat="1" applyFont="1" applyFill="1" applyBorder="1" applyAlignment="1" applyProtection="1">
      <alignment vertical="center"/>
      <protection locked="0"/>
    </xf>
    <xf numFmtId="10" fontId="19" fillId="37" borderId="59" xfId="81" applyNumberFormat="1" applyFont="1" applyFill="1" applyBorder="1" applyAlignment="1" applyProtection="1">
      <alignment vertical="center"/>
      <protection locked="0"/>
    </xf>
    <xf numFmtId="0" fontId="114" fillId="0" borderId="0" xfId="65" applyProtection="1">
      <alignment/>
      <protection locked="0"/>
    </xf>
    <xf numFmtId="0" fontId="114" fillId="38" borderId="0" xfId="65" applyFill="1" applyProtection="1">
      <alignment/>
      <protection locked="0"/>
    </xf>
    <xf numFmtId="0" fontId="130" fillId="38" borderId="0" xfId="65" applyFont="1" applyFill="1" applyAlignment="1" applyProtection="1">
      <alignment vertical="center"/>
      <protection locked="0"/>
    </xf>
    <xf numFmtId="0" fontId="132" fillId="0" borderId="0" xfId="65" applyFont="1" applyProtection="1">
      <alignment/>
      <protection/>
    </xf>
    <xf numFmtId="0" fontId="114" fillId="0" borderId="0" xfId="65" applyProtection="1">
      <alignment/>
      <protection/>
    </xf>
    <xf numFmtId="0" fontId="114" fillId="38" borderId="0" xfId="65" applyFill="1" applyProtection="1">
      <alignment/>
      <protection/>
    </xf>
    <xf numFmtId="0" fontId="131" fillId="38" borderId="0" xfId="65" applyFont="1" applyFill="1" applyAlignment="1" applyProtection="1">
      <alignment vertical="center"/>
      <protection/>
    </xf>
    <xf numFmtId="0" fontId="131" fillId="38" borderId="0" xfId="65" applyFont="1" applyFill="1" applyAlignment="1" applyProtection="1">
      <alignment horizontal="left" vertical="center"/>
      <protection/>
    </xf>
    <xf numFmtId="0" fontId="130" fillId="38" borderId="0" xfId="65" applyFont="1" applyFill="1" applyAlignment="1" applyProtection="1">
      <alignment vertical="center"/>
      <protection/>
    </xf>
    <xf numFmtId="0" fontId="133" fillId="38" borderId="0" xfId="65" applyFont="1" applyFill="1" applyAlignment="1" applyProtection="1">
      <alignment vertical="center"/>
      <protection/>
    </xf>
    <xf numFmtId="0" fontId="130" fillId="0" borderId="0" xfId="65" applyFont="1" applyAlignment="1" applyProtection="1">
      <alignment vertical="center"/>
      <protection/>
    </xf>
    <xf numFmtId="0" fontId="0" fillId="39" borderId="53" xfId="0" applyFill="1" applyBorder="1" applyAlignment="1" applyProtection="1">
      <alignment/>
      <protection locked="0"/>
    </xf>
    <xf numFmtId="0" fontId="77" fillId="39" borderId="53" xfId="0" applyFont="1" applyFill="1" applyBorder="1" applyAlignment="1" applyProtection="1">
      <alignment/>
      <protection locked="0"/>
    </xf>
    <xf numFmtId="0" fontId="57" fillId="40" borderId="0" xfId="61" applyFont="1" applyFill="1" applyAlignment="1" applyProtection="1">
      <alignment horizontal="center" vertical="center"/>
      <protection locked="0"/>
    </xf>
    <xf numFmtId="0" fontId="19" fillId="37" borderId="50" xfId="79" applyFont="1" applyFill="1" applyBorder="1" applyAlignment="1" applyProtection="1">
      <alignment vertical="center"/>
      <protection locked="0"/>
    </xf>
    <xf numFmtId="0" fontId="19" fillId="37" borderId="87" xfId="79" applyFont="1" applyFill="1" applyBorder="1" applyAlignment="1" applyProtection="1">
      <alignment vertical="center"/>
      <protection locked="0"/>
    </xf>
    <xf numFmtId="0" fontId="134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97" xfId="0" applyFont="1" applyBorder="1" applyAlignment="1">
      <alignment/>
    </xf>
    <xf numFmtId="0" fontId="69" fillId="35" borderId="0" xfId="0" applyFont="1" applyFill="1" applyBorder="1" applyAlignment="1" applyProtection="1">
      <alignment horizontal="center"/>
      <protection locked="0"/>
    </xf>
    <xf numFmtId="0" fontId="69" fillId="35" borderId="41" xfId="0" applyFont="1" applyFill="1" applyBorder="1" applyAlignment="1" applyProtection="1">
      <alignment horizontal="center"/>
      <protection locked="0"/>
    </xf>
    <xf numFmtId="0" fontId="69" fillId="35" borderId="0" xfId="0" applyFont="1" applyFill="1" applyBorder="1" applyAlignment="1" applyProtection="1">
      <alignment horizontal="right"/>
      <protection locked="0"/>
    </xf>
    <xf numFmtId="0" fontId="19" fillId="35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19" fillId="35" borderId="41" xfId="0" applyNumberFormat="1" applyFont="1" applyFill="1" applyBorder="1" applyAlignment="1" applyProtection="1">
      <alignment horizontal="center"/>
      <protection locked="0"/>
    </xf>
    <xf numFmtId="0" fontId="135" fillId="0" borderId="38" xfId="0" applyFont="1" applyFill="1" applyBorder="1" applyAlignment="1">
      <alignment/>
    </xf>
    <xf numFmtId="0" fontId="0" fillId="0" borderId="92" xfId="0" applyFill="1" applyBorder="1" applyAlignment="1">
      <alignment/>
    </xf>
    <xf numFmtId="0" fontId="28" fillId="41" borderId="0" xfId="71" applyFont="1" applyFill="1" applyBorder="1" applyAlignment="1">
      <alignment horizontal="left" vertical="center"/>
      <protection/>
    </xf>
    <xf numFmtId="0" fontId="82" fillId="41" borderId="0" xfId="71" applyFont="1" applyFill="1" applyBorder="1" applyAlignment="1">
      <alignment horizontal="center" vertical="center" wrapText="1"/>
      <protection/>
    </xf>
    <xf numFmtId="0" fontId="40" fillId="41" borderId="98" xfId="72" applyFont="1" applyFill="1" applyBorder="1" applyAlignment="1">
      <alignment vertical="center"/>
      <protection/>
    </xf>
    <xf numFmtId="0" fontId="20" fillId="41" borderId="98" xfId="72" applyFont="1" applyFill="1" applyBorder="1">
      <alignment/>
      <protection/>
    </xf>
    <xf numFmtId="0" fontId="8" fillId="41" borderId="0" xfId="70" applyFont="1" applyFill="1" applyBorder="1" applyAlignment="1">
      <alignment horizontal="centerContinuous" vertical="center" wrapText="1"/>
      <protection/>
    </xf>
    <xf numFmtId="0" fontId="16" fillId="41" borderId="0" xfId="70" applyFont="1" applyFill="1" applyBorder="1" applyAlignment="1">
      <alignment horizontal="center" vertical="center" wrapText="1"/>
      <protection/>
    </xf>
    <xf numFmtId="0" fontId="40" fillId="41" borderId="98" xfId="73" applyFont="1" applyFill="1" applyBorder="1" applyAlignment="1">
      <alignment vertical="center"/>
      <protection/>
    </xf>
    <xf numFmtId="0" fontId="8" fillId="41" borderId="99" xfId="73" applyFont="1" applyFill="1" applyBorder="1" applyAlignment="1">
      <alignment vertical="center"/>
      <protection/>
    </xf>
    <xf numFmtId="0" fontId="4" fillId="41" borderId="0" xfId="70" applyFont="1" applyFill="1">
      <alignment/>
      <protection/>
    </xf>
    <xf numFmtId="0" fontId="35" fillId="41" borderId="0" xfId="70" applyFont="1" applyFill="1">
      <alignment/>
      <protection/>
    </xf>
    <xf numFmtId="0" fontId="4" fillId="41" borderId="0" xfId="70" applyFont="1" applyFill="1" applyAlignment="1">
      <alignment vertical="center"/>
      <protection/>
    </xf>
    <xf numFmtId="0" fontId="8" fillId="41" borderId="89" xfId="73" applyFont="1" applyFill="1" applyBorder="1" applyAlignment="1">
      <alignment vertical="center"/>
      <protection/>
    </xf>
    <xf numFmtId="0" fontId="11" fillId="41" borderId="98" xfId="73" applyFont="1" applyFill="1" applyBorder="1" applyAlignment="1">
      <alignment vertical="center" wrapText="1"/>
      <protection/>
    </xf>
    <xf numFmtId="0" fontId="8" fillId="41" borderId="89" xfId="73" applyFont="1" applyFill="1" applyBorder="1" applyAlignment="1">
      <alignment vertical="center" wrapText="1"/>
      <protection/>
    </xf>
    <xf numFmtId="0" fontId="22" fillId="41" borderId="0" xfId="74" applyFont="1" applyFill="1" applyBorder="1" applyAlignment="1">
      <alignment horizontal="left" vertical="center" wrapText="1"/>
      <protection/>
    </xf>
    <xf numFmtId="0" fontId="82" fillId="41" borderId="0" xfId="74" applyFont="1" applyFill="1" applyBorder="1" applyAlignment="1">
      <alignment horizontal="left" vertical="center" wrapText="1"/>
      <protection/>
    </xf>
    <xf numFmtId="0" fontId="46" fillId="41" borderId="98" xfId="74" applyFont="1" applyFill="1" applyBorder="1" applyAlignment="1">
      <alignment horizontal="left" vertical="center"/>
      <protection/>
    </xf>
    <xf numFmtId="0" fontId="8" fillId="41" borderId="99" xfId="74" applyFont="1" applyFill="1" applyBorder="1" applyAlignment="1">
      <alignment vertical="center" wrapText="1"/>
      <protection/>
    </xf>
    <xf numFmtId="0" fontId="55" fillId="41" borderId="0" xfId="74" applyFont="1" applyFill="1" applyAlignment="1">
      <alignment horizontal="left"/>
      <protection/>
    </xf>
    <xf numFmtId="0" fontId="82" fillId="41" borderId="0" xfId="75" applyFont="1" applyFill="1" applyBorder="1" applyAlignment="1">
      <alignment horizontal="left" vertical="center"/>
      <protection/>
    </xf>
    <xf numFmtId="0" fontId="4" fillId="41" borderId="0" xfId="74" applyFont="1" applyFill="1">
      <alignment/>
      <protection/>
    </xf>
    <xf numFmtId="0" fontId="82" fillId="41" borderId="0" xfId="76" applyFont="1" applyFill="1" applyBorder="1" applyAlignment="1">
      <alignment horizontal="left" vertical="center"/>
      <protection/>
    </xf>
    <xf numFmtId="0" fontId="16" fillId="41" borderId="0" xfId="76" applyFont="1" applyFill="1" applyBorder="1" applyAlignment="1">
      <alignment horizontal="left" vertical="center"/>
      <protection/>
    </xf>
    <xf numFmtId="0" fontId="35" fillId="41" borderId="0" xfId="74" applyFont="1" applyFill="1">
      <alignment/>
      <protection/>
    </xf>
    <xf numFmtId="0" fontId="28" fillId="41" borderId="98" xfId="76" applyFont="1" applyFill="1" applyBorder="1" applyAlignment="1">
      <alignment horizontal="left" vertical="center"/>
      <protection/>
    </xf>
    <xf numFmtId="0" fontId="8" fillId="41" borderId="89" xfId="76" applyFont="1" applyFill="1" applyBorder="1" applyAlignment="1">
      <alignment vertical="center" wrapText="1"/>
      <protection/>
    </xf>
    <xf numFmtId="0" fontId="8" fillId="41" borderId="89" xfId="76" applyFont="1" applyFill="1" applyBorder="1" applyAlignment="1">
      <alignment horizontal="left" vertical="center" wrapText="1"/>
      <protection/>
    </xf>
    <xf numFmtId="0" fontId="69" fillId="35" borderId="0" xfId="0" applyFont="1" applyFill="1" applyBorder="1" applyAlignment="1" applyProtection="1">
      <alignment horizontal="left"/>
      <protection locked="0"/>
    </xf>
    <xf numFmtId="4" fontId="0" fillId="39" borderId="53" xfId="0" applyNumberFormat="1" applyFill="1" applyBorder="1" applyAlignment="1" applyProtection="1">
      <alignment/>
      <protection locked="0"/>
    </xf>
    <xf numFmtId="4" fontId="77" fillId="39" borderId="53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9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4" fontId="4" fillId="42" borderId="20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0" fontId="81" fillId="0" borderId="0" xfId="0" applyFont="1" applyFill="1" applyBorder="1" applyAlignment="1" applyProtection="1">
      <alignment horizontal="center"/>
      <protection/>
    </xf>
    <xf numFmtId="0" fontId="81" fillId="0" borderId="91" xfId="0" applyFont="1" applyFill="1" applyBorder="1" applyAlignment="1" applyProtection="1">
      <alignment horizontal="center"/>
      <protection/>
    </xf>
    <xf numFmtId="0" fontId="81" fillId="0" borderId="11" xfId="0" applyFont="1" applyFill="1" applyBorder="1" applyAlignment="1" applyProtection="1">
      <alignment horizontal="center"/>
      <protection/>
    </xf>
    <xf numFmtId="0" fontId="81" fillId="0" borderId="16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 locked="0"/>
    </xf>
    <xf numFmtId="0" fontId="19" fillId="35" borderId="0" xfId="0" applyNumberFormat="1" applyFont="1" applyFill="1" applyBorder="1" applyAlignment="1" applyProtection="1">
      <alignment horizontal="center"/>
      <protection locked="0"/>
    </xf>
    <xf numFmtId="0" fontId="19" fillId="35" borderId="0" xfId="0" applyNumberFormat="1" applyFont="1" applyFill="1" applyBorder="1" applyAlignment="1" applyProtection="1">
      <alignment horizontal="left"/>
      <protection locked="0"/>
    </xf>
    <xf numFmtId="0" fontId="69" fillId="35" borderId="0" xfId="0" applyFont="1" applyFill="1" applyBorder="1" applyAlignment="1" applyProtection="1">
      <alignment horizontal="center" vertical="top" wrapText="1"/>
      <protection locked="0"/>
    </xf>
    <xf numFmtId="0" fontId="69" fillId="35" borderId="41" xfId="0" applyFont="1" applyFill="1" applyBorder="1" applyAlignment="1" applyProtection="1">
      <alignment horizontal="center" vertical="top" wrapText="1"/>
      <protection locked="0"/>
    </xf>
    <xf numFmtId="0" fontId="0" fillId="35" borderId="41" xfId="0" applyFill="1" applyBorder="1" applyAlignment="1" applyProtection="1">
      <alignment/>
      <protection locked="0"/>
    </xf>
    <xf numFmtId="0" fontId="81" fillId="0" borderId="92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0" fontId="12" fillId="0" borderId="0" xfId="78" applyFont="1" applyBorder="1" applyAlignment="1">
      <alignment horizontal="center" vertical="center" wrapText="1"/>
      <protection/>
    </xf>
    <xf numFmtId="0" fontId="12" fillId="0" borderId="0" xfId="78" applyFont="1" applyBorder="1" applyAlignment="1">
      <alignment horizontal="center" vertical="center"/>
      <protection/>
    </xf>
    <xf numFmtId="0" fontId="12" fillId="0" borderId="0" xfId="78" applyFont="1" applyBorder="1" applyAlignment="1">
      <alignment horizontal="left" vertical="center"/>
      <protection/>
    </xf>
    <xf numFmtId="0" fontId="81" fillId="0" borderId="81" xfId="0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 applyProtection="1">
      <alignment horizontal="center" vertical="center"/>
      <protection/>
    </xf>
    <xf numFmtId="0" fontId="81" fillId="0" borderId="92" xfId="0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 applyProtection="1">
      <alignment horizontal="center" vertical="center"/>
      <protection/>
    </xf>
    <xf numFmtId="0" fontId="81" fillId="0" borderId="16" xfId="0" applyFont="1" applyFill="1" applyBorder="1" applyAlignment="1" applyProtection="1">
      <alignment horizontal="center" vertical="center"/>
      <protection/>
    </xf>
    <xf numFmtId="0" fontId="70" fillId="0" borderId="81" xfId="70" applyFont="1" applyBorder="1" applyAlignment="1">
      <alignment horizontal="center"/>
      <protection/>
    </xf>
    <xf numFmtId="0" fontId="70" fillId="0" borderId="10" xfId="70" applyFont="1" applyBorder="1" applyAlignment="1">
      <alignment horizontal="center"/>
      <protection/>
    </xf>
    <xf numFmtId="0" fontId="70" fillId="0" borderId="15" xfId="70" applyFont="1" applyBorder="1" applyAlignment="1">
      <alignment horizontal="center"/>
      <protection/>
    </xf>
    <xf numFmtId="0" fontId="70" fillId="0" borderId="92" xfId="70" applyFont="1" applyBorder="1" applyAlignment="1">
      <alignment horizontal="center"/>
      <protection/>
    </xf>
    <xf numFmtId="0" fontId="70" fillId="0" borderId="11" xfId="70" applyFont="1" applyBorder="1" applyAlignment="1">
      <alignment horizontal="center"/>
      <protection/>
    </xf>
    <xf numFmtId="0" fontId="70" fillId="0" borderId="16" xfId="70" applyFont="1" applyBorder="1" applyAlignment="1">
      <alignment horizontal="center"/>
      <protection/>
    </xf>
    <xf numFmtId="0" fontId="10" fillId="0" borderId="53" xfId="73" applyFont="1" applyBorder="1" applyAlignment="1">
      <alignment horizontal="center" vertical="center" wrapText="1"/>
      <protection/>
    </xf>
    <xf numFmtId="0" fontId="16" fillId="0" borderId="53" xfId="76" applyFont="1" applyBorder="1" applyAlignment="1">
      <alignment horizontal="center" vertical="center" wrapText="1"/>
      <protection/>
    </xf>
    <xf numFmtId="0" fontId="11" fillId="0" borderId="0" xfId="7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7" fillId="0" borderId="53" xfId="70" applyFont="1" applyFill="1" applyBorder="1" applyAlignment="1" applyProtection="1">
      <alignment horizontal="center" vertical="center" wrapText="1"/>
      <protection/>
    </xf>
    <xf numFmtId="0" fontId="77" fillId="0" borderId="53" xfId="60" applyFont="1" applyFill="1" applyBorder="1" applyAlignment="1" applyProtection="1">
      <alignment horizontal="center" vertical="center" wrapText="1"/>
      <protection/>
    </xf>
    <xf numFmtId="0" fontId="77" fillId="0" borderId="65" xfId="60" applyFont="1" applyFill="1" applyBorder="1" applyAlignment="1" applyProtection="1">
      <alignment horizontal="center" vertical="center" wrapText="1"/>
      <protection/>
    </xf>
    <xf numFmtId="0" fontId="77" fillId="0" borderId="67" xfId="60" applyFont="1" applyFill="1" applyBorder="1" applyAlignment="1" applyProtection="1">
      <alignment horizontal="center" vertical="center" wrapText="1"/>
      <protection/>
    </xf>
    <xf numFmtId="0" fontId="83" fillId="41" borderId="34" xfId="60" applyFont="1" applyFill="1" applyBorder="1" applyAlignment="1" applyProtection="1">
      <alignment horizontal="left" vertical="center"/>
      <protection/>
    </xf>
    <xf numFmtId="0" fontId="83" fillId="41" borderId="44" xfId="60" applyFont="1" applyFill="1" applyBorder="1" applyAlignment="1" applyProtection="1">
      <alignment horizontal="left" vertical="center"/>
      <protection/>
    </xf>
    <xf numFmtId="0" fontId="83" fillId="41" borderId="77" xfId="60" applyFont="1" applyFill="1" applyBorder="1" applyAlignment="1" applyProtection="1">
      <alignment horizontal="left" vertical="center"/>
      <protection/>
    </xf>
  </cellXfs>
  <cellStyles count="8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Milliers 2" xfId="51"/>
    <cellStyle name="Milliers 3" xfId="52"/>
    <cellStyle name="Currency" xfId="53"/>
    <cellStyle name="Currency [0]" xfId="54"/>
    <cellStyle name="Monétaire 2" xfId="55"/>
    <cellStyle name="Monétaire 2 2" xfId="56"/>
    <cellStyle name="Monétaire 3" xfId="57"/>
    <cellStyle name="Monétaire 4" xfId="58"/>
    <cellStyle name="Neutre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_PAGE10" xfId="67"/>
    <cellStyle name="Normal_PAGE11" xfId="68"/>
    <cellStyle name="Normal_PAGE24" xfId="69"/>
    <cellStyle name="Normal_PAGE27" xfId="70"/>
    <cellStyle name="Normal_PAGE28" xfId="71"/>
    <cellStyle name="Normal_PAGE29" xfId="72"/>
    <cellStyle name="Normal_PAGE30" xfId="73"/>
    <cellStyle name="Normal_PAGE31" xfId="74"/>
    <cellStyle name="Normal_PAGE32" xfId="75"/>
    <cellStyle name="Normal_PAGE33" xfId="76"/>
    <cellStyle name="Normal_PAGE42-3" xfId="77"/>
    <cellStyle name="Normal_PAGE6-1" xfId="78"/>
    <cellStyle name="Normal_PAGE6-3" xfId="79"/>
    <cellStyle name="Note" xfId="80"/>
    <cellStyle name="Percent" xfId="81"/>
    <cellStyle name="Pourcentage 2" xfId="82"/>
    <cellStyle name="Satisfaisant" xfId="83"/>
    <cellStyle name="Sortie" xfId="84"/>
    <cellStyle name="Texte explicatif" xfId="85"/>
    <cellStyle name="Texte explicatif 2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</cellStyles>
  <dxfs count="2">
    <dxf>
      <font>
        <color theme="0"/>
      </font>
    </dxf>
    <dxf>
      <font>
        <color rgb="FFFFFFB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44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5276"/>
        <a:stretch>
          <a:fillRect/>
        </a:stretch>
      </xdr:blipFill>
      <xdr:spPr>
        <a:xfrm>
          <a:off x="0" y="0"/>
          <a:ext cx="13306425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</xdr:colOff>
      <xdr:row>8</xdr:row>
      <xdr:rowOff>123825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0" y="0"/>
          <a:ext cx="133159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TELEBUDGET</a:t>
          </a:r>
        </a:p>
      </xdr:txBody>
    </xdr:sp>
    <xdr:clientData/>
  </xdr:twoCellAnchor>
  <xdr:twoCellAnchor editAs="oneCell">
    <xdr:from>
      <xdr:col>4</xdr:col>
      <xdr:colOff>771525</xdr:colOff>
      <xdr:row>34</xdr:row>
      <xdr:rowOff>9525</xdr:rowOff>
    </xdr:from>
    <xdr:to>
      <xdr:col>17</xdr:col>
      <xdr:colOff>0</xdr:colOff>
      <xdr:row>44</xdr:row>
      <xdr:rowOff>28575</xdr:rowOff>
    </xdr:to>
    <xdr:pic>
      <xdr:nvPicPr>
        <xdr:cNvPr id="3" name="Imag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6591300"/>
          <a:ext cx="9258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12</xdr:col>
      <xdr:colOff>0</xdr:colOff>
      <xdr:row>18</xdr:row>
      <xdr:rowOff>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05025"/>
          <a:ext cx="929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9</xdr:col>
      <xdr:colOff>247650</xdr:colOff>
      <xdr:row>31</xdr:row>
      <xdr:rowOff>171450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rcRect r="21453"/>
        <a:stretch>
          <a:fillRect/>
        </a:stretch>
      </xdr:blipFill>
      <xdr:spPr>
        <a:xfrm>
          <a:off x="0" y="3838575"/>
          <a:ext cx="72485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22</xdr:row>
      <xdr:rowOff>133350</xdr:rowOff>
    </xdr:from>
    <xdr:ext cx="895350" cy="476250"/>
    <xdr:sp>
      <xdr:nvSpPr>
        <xdr:cNvPr id="1" name="AutoShape 1"/>
        <xdr:cNvSpPr>
          <a:spLocks/>
        </xdr:cNvSpPr>
      </xdr:nvSpPr>
      <xdr:spPr>
        <a:xfrm>
          <a:off x="2400300" y="7286625"/>
          <a:ext cx="89535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 n-4</a:t>
          </a:r>
        </a:p>
      </xdr:txBody>
    </xdr:sp>
    <xdr:clientData/>
  </xdr:oneCellAnchor>
  <xdr:twoCellAnchor>
    <xdr:from>
      <xdr:col>3</xdr:col>
      <xdr:colOff>85725</xdr:colOff>
      <xdr:row>22</xdr:row>
      <xdr:rowOff>142875</xdr:rowOff>
    </xdr:from>
    <xdr:to>
      <xdr:col>3</xdr:col>
      <xdr:colOff>1009650</xdr:colOff>
      <xdr:row>23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3381375" y="7296150"/>
          <a:ext cx="9239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 n-3</a:t>
          </a:r>
        </a:p>
      </xdr:txBody>
    </xdr:sp>
    <xdr:clientData/>
  </xdr:twoCellAnchor>
  <xdr:twoCellAnchor>
    <xdr:from>
      <xdr:col>4</xdr:col>
      <xdr:colOff>85725</xdr:colOff>
      <xdr:row>22</xdr:row>
      <xdr:rowOff>152400</xdr:rowOff>
    </xdr:from>
    <xdr:to>
      <xdr:col>5</xdr:col>
      <xdr:colOff>9525</xdr:colOff>
      <xdr:row>23</xdr:row>
      <xdr:rowOff>390525</xdr:rowOff>
    </xdr:to>
    <xdr:sp>
      <xdr:nvSpPr>
        <xdr:cNvPr id="3" name="AutoShape 3"/>
        <xdr:cNvSpPr>
          <a:spLocks/>
        </xdr:cNvSpPr>
      </xdr:nvSpPr>
      <xdr:spPr>
        <a:xfrm>
          <a:off x="4400550" y="7305675"/>
          <a:ext cx="90487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 n-2</a:t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6</xdr:col>
      <xdr:colOff>0</xdr:colOff>
      <xdr:row>23</xdr:row>
      <xdr:rowOff>352425</xdr:rowOff>
    </xdr:to>
    <xdr:sp>
      <xdr:nvSpPr>
        <xdr:cNvPr id="4" name="AutoShape 4"/>
        <xdr:cNvSpPr>
          <a:spLocks/>
        </xdr:cNvSpPr>
      </xdr:nvSpPr>
      <xdr:spPr>
        <a:xfrm>
          <a:off x="5372100" y="7267575"/>
          <a:ext cx="8096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Moyenne</a:t>
          </a:r>
        </a:p>
      </xdr:txBody>
    </xdr:sp>
    <xdr:clientData/>
  </xdr:twoCellAnchor>
  <xdr:twoCellAnchor>
    <xdr:from>
      <xdr:col>6</xdr:col>
      <xdr:colOff>152400</xdr:colOff>
      <xdr:row>22</xdr:row>
      <xdr:rowOff>114300</xdr:rowOff>
    </xdr:from>
    <xdr:to>
      <xdr:col>6</xdr:col>
      <xdr:colOff>1066800</xdr:colOff>
      <xdr:row>23</xdr:row>
      <xdr:rowOff>352425</xdr:rowOff>
    </xdr:to>
    <xdr:sp>
      <xdr:nvSpPr>
        <xdr:cNvPr id="5" name="AutoShape 5"/>
        <xdr:cNvSpPr>
          <a:spLocks/>
        </xdr:cNvSpPr>
      </xdr:nvSpPr>
      <xdr:spPr>
        <a:xfrm>
          <a:off x="6334125" y="7267575"/>
          <a:ext cx="91440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BP n-1</a:t>
          </a:r>
        </a:p>
      </xdr:txBody>
    </xdr:sp>
    <xdr:clientData/>
  </xdr:twoCellAnchor>
  <xdr:twoCellAnchor>
    <xdr:from>
      <xdr:col>5</xdr:col>
      <xdr:colOff>57150</xdr:colOff>
      <xdr:row>3</xdr:row>
      <xdr:rowOff>28575</xdr:rowOff>
    </xdr:from>
    <xdr:to>
      <xdr:col>6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53050" y="838200"/>
          <a:ext cx="8286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Nombre de  journées théorique</a:t>
          </a:r>
        </a:p>
      </xdr:txBody>
    </xdr:sp>
    <xdr:clientData/>
  </xdr:twoCellAnchor>
  <xdr:twoCellAnchor>
    <xdr:from>
      <xdr:col>8</xdr:col>
      <xdr:colOff>104775</xdr:colOff>
      <xdr:row>4</xdr:row>
      <xdr:rowOff>238125</xdr:rowOff>
    </xdr:from>
    <xdr:to>
      <xdr:col>8</xdr:col>
      <xdr:colOff>1352550</xdr:colOff>
      <xdr:row>5</xdr:row>
      <xdr:rowOff>647700</xdr:rowOff>
    </xdr:to>
    <xdr:sp>
      <xdr:nvSpPr>
        <xdr:cNvPr id="7" name="AutoShape 7"/>
        <xdr:cNvSpPr>
          <a:spLocks/>
        </xdr:cNvSpPr>
      </xdr:nvSpPr>
      <xdr:spPr>
        <a:xfrm>
          <a:off x="8420100" y="1352550"/>
          <a:ext cx="1247775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Nombre 
</a:t>
          </a:r>
          <a:r>
            <a:rPr lang="en-US" cap="none" sz="1100" b="1" i="0" u="none" baseline="0">
              <a:solidFill>
                <a:srgbClr val="000000"/>
              </a:solidFill>
            </a:rPr>
            <a:t>de
</a:t>
          </a:r>
          <a:r>
            <a:rPr lang="en-US" cap="none" sz="1100" b="1" i="0" u="none" baseline="0">
              <a:solidFill>
                <a:srgbClr val="000000"/>
              </a:solidFill>
            </a:rPr>
            <a:t>personnes</a:t>
          </a:r>
        </a:p>
      </xdr:txBody>
    </xdr:sp>
    <xdr:clientData/>
  </xdr:twoCellAnchor>
  <xdr:twoCellAnchor>
    <xdr:from>
      <xdr:col>8</xdr:col>
      <xdr:colOff>152400</xdr:colOff>
      <xdr:row>2</xdr:row>
      <xdr:rowOff>304800</xdr:rowOff>
    </xdr:from>
    <xdr:to>
      <xdr:col>10</xdr:col>
      <xdr:colOff>1352550</xdr:colOff>
      <xdr:row>3</xdr:row>
      <xdr:rowOff>304800</xdr:rowOff>
    </xdr:to>
    <xdr:sp>
      <xdr:nvSpPr>
        <xdr:cNvPr id="8" name="AutoShape 8"/>
        <xdr:cNvSpPr>
          <a:spLocks/>
        </xdr:cNvSpPr>
      </xdr:nvSpPr>
      <xdr:spPr>
        <a:xfrm>
          <a:off x="8467725" y="809625"/>
          <a:ext cx="36099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Activité par dérogation</a:t>
          </a:r>
        </a:p>
      </xdr:txBody>
    </xdr:sp>
    <xdr:clientData/>
  </xdr:twoCellAnchor>
  <xdr:twoCellAnchor>
    <xdr:from>
      <xdr:col>9</xdr:col>
      <xdr:colOff>85725</xdr:colOff>
      <xdr:row>4</xdr:row>
      <xdr:rowOff>228600</xdr:rowOff>
    </xdr:from>
    <xdr:to>
      <xdr:col>9</xdr:col>
      <xdr:colOff>1047750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753600" y="1343025"/>
          <a:ext cx="962025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Nombre de journées proposées
</a:t>
          </a:r>
        </a:p>
      </xdr:txBody>
    </xdr:sp>
    <xdr:clientData/>
  </xdr:twoCellAnchor>
  <xdr:twoCellAnchor>
    <xdr:from>
      <xdr:col>10</xdr:col>
      <xdr:colOff>114300</xdr:colOff>
      <xdr:row>4</xdr:row>
      <xdr:rowOff>266700</xdr:rowOff>
    </xdr:from>
    <xdr:to>
      <xdr:col>11</xdr:col>
      <xdr:colOff>0</xdr:colOff>
      <xdr:row>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839450" y="1381125"/>
          <a:ext cx="123825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Nombre de 
</a:t>
          </a:r>
          <a:r>
            <a:rPr lang="en-US" cap="none" sz="1100" b="1" i="0" u="none" baseline="0">
              <a:solidFill>
                <a:srgbClr val="000000"/>
              </a:solidFill>
            </a:rPr>
            <a:t>journées 
</a:t>
          </a:r>
          <a:r>
            <a:rPr lang="en-US" cap="none" sz="1100" b="1" i="0" u="none" baseline="0">
              <a:solidFill>
                <a:srgbClr val="000000"/>
              </a:solidFill>
            </a:rPr>
            <a:t>allouées</a:t>
          </a:r>
        </a:p>
      </xdr:txBody>
    </xdr:sp>
    <xdr:clientData/>
  </xdr:twoCellAnchor>
  <xdr:twoCellAnchor>
    <xdr:from>
      <xdr:col>1</xdr:col>
      <xdr:colOff>114300</xdr:colOff>
      <xdr:row>3</xdr:row>
      <xdr:rowOff>28575</xdr:rowOff>
    </xdr:from>
    <xdr:to>
      <xdr:col>2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95425" y="838200"/>
          <a:ext cx="838200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Lits ou places réels 
</a:t>
          </a:r>
          <a:r>
            <a:rPr lang="en-US" cap="none" sz="11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twoCellAnchor>
  <xdr:twoCellAnchor>
    <xdr:from>
      <xdr:col>2</xdr:col>
      <xdr:colOff>152400</xdr:colOff>
      <xdr:row>3</xdr:row>
      <xdr:rowOff>38100</xdr:rowOff>
    </xdr:from>
    <xdr:to>
      <xdr:col>2</xdr:col>
      <xdr:colOff>962025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86025" y="847725"/>
          <a:ext cx="809625" cy="1228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Lits ou places financés</a:t>
          </a:r>
        </a:p>
      </xdr:txBody>
    </xdr:sp>
    <xdr:clientData/>
  </xdr:twoCellAnchor>
  <xdr:twoCellAnchor>
    <xdr:from>
      <xdr:col>3</xdr:col>
      <xdr:colOff>180975</xdr:colOff>
      <xdr:row>3</xdr:row>
      <xdr:rowOff>28575</xdr:rowOff>
    </xdr:from>
    <xdr:to>
      <xdr:col>4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76625" y="838200"/>
          <a:ext cx="838200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Nombre de jours d'ouverture</a:t>
          </a:r>
        </a:p>
      </xdr:txBody>
    </xdr:sp>
    <xdr:clientData/>
  </xdr:twoCellAnchor>
  <xdr:twoCellAnchor>
    <xdr:from>
      <xdr:col>4</xdr:col>
      <xdr:colOff>114300</xdr:colOff>
      <xdr:row>3</xdr:row>
      <xdr:rowOff>28575</xdr:rowOff>
    </xdr:from>
    <xdr:to>
      <xdr:col>5</xdr:col>
      <xdr:colOff>0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429125" y="838200"/>
          <a:ext cx="8667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Nombre de jours de présence</a:t>
          </a:r>
        </a:p>
      </xdr:txBody>
    </xdr:sp>
    <xdr:clientData/>
  </xdr:twoCellAnchor>
  <xdr:oneCellAnchor>
    <xdr:from>
      <xdr:col>1</xdr:col>
      <xdr:colOff>76200</xdr:colOff>
      <xdr:row>22</xdr:row>
      <xdr:rowOff>123825</xdr:rowOff>
    </xdr:from>
    <xdr:ext cx="876300" cy="514350"/>
    <xdr:sp>
      <xdr:nvSpPr>
        <xdr:cNvPr id="15" name="AutoShape 15"/>
        <xdr:cNvSpPr>
          <a:spLocks/>
        </xdr:cNvSpPr>
      </xdr:nvSpPr>
      <xdr:spPr>
        <a:xfrm>
          <a:off x="1457325" y="7277100"/>
          <a:ext cx="87630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Nature</a:t>
          </a:r>
        </a:p>
      </xdr:txBody>
    </xdr:sp>
    <xdr:clientData/>
  </xdr:oneCellAnchor>
  <xdr:twoCellAnchor>
    <xdr:from>
      <xdr:col>7</xdr:col>
      <xdr:colOff>180975</xdr:colOff>
      <xdr:row>22</xdr:row>
      <xdr:rowOff>114300</xdr:rowOff>
    </xdr:from>
    <xdr:to>
      <xdr:col>9</xdr:col>
      <xdr:colOff>9525</xdr:colOff>
      <xdr:row>23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7429500" y="7267575"/>
          <a:ext cx="22479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BP proposé n</a:t>
          </a:r>
        </a:p>
      </xdr:txBody>
    </xdr:sp>
    <xdr:clientData/>
  </xdr:twoCellAnchor>
  <xdr:twoCellAnchor>
    <xdr:from>
      <xdr:col>9</xdr:col>
      <xdr:colOff>85725</xdr:colOff>
      <xdr:row>22</xdr:row>
      <xdr:rowOff>123825</xdr:rowOff>
    </xdr:from>
    <xdr:to>
      <xdr:col>10</xdr:col>
      <xdr:colOff>1352550</xdr:colOff>
      <xdr:row>23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9753600" y="7277100"/>
          <a:ext cx="23241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retenu par tarificateur</a:t>
          </a:r>
        </a:p>
      </xdr:txBody>
    </xdr:sp>
    <xdr:clientData/>
  </xdr:twoCellAnchor>
  <xdr:twoCellAnchor>
    <xdr:from>
      <xdr:col>7</xdr:col>
      <xdr:colOff>190500</xdr:colOff>
      <xdr:row>23</xdr:row>
      <xdr:rowOff>323850</xdr:rowOff>
    </xdr:from>
    <xdr:to>
      <xdr:col>8</xdr:col>
      <xdr:colOff>0</xdr:colOff>
      <xdr:row>24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7439025" y="7724775"/>
          <a:ext cx="8763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  <xdr:twoCellAnchor>
    <xdr:from>
      <xdr:col>9</xdr:col>
      <xdr:colOff>104775</xdr:colOff>
      <xdr:row>23</xdr:row>
      <xdr:rowOff>323850</xdr:rowOff>
    </xdr:from>
    <xdr:to>
      <xdr:col>10</xdr:col>
      <xdr:colOff>0</xdr:colOff>
      <xdr:row>24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9772650" y="7724775"/>
          <a:ext cx="95250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  <xdr:twoCellAnchor>
    <xdr:from>
      <xdr:col>8</xdr:col>
      <xdr:colOff>180975</xdr:colOff>
      <xdr:row>23</xdr:row>
      <xdr:rowOff>304800</xdr:rowOff>
    </xdr:from>
    <xdr:to>
      <xdr:col>9</xdr:col>
      <xdr:colOff>0</xdr:colOff>
      <xdr:row>24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8496300" y="7705725"/>
          <a:ext cx="1171575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Taux d'occupation</a:t>
          </a:r>
        </a:p>
      </xdr:txBody>
    </xdr:sp>
    <xdr:clientData/>
  </xdr:twoCellAnchor>
  <xdr:twoCellAnchor>
    <xdr:from>
      <xdr:col>10</xdr:col>
      <xdr:colOff>114300</xdr:colOff>
      <xdr:row>23</xdr:row>
      <xdr:rowOff>323850</xdr:rowOff>
    </xdr:from>
    <xdr:to>
      <xdr:col>11</xdr:col>
      <xdr:colOff>0</xdr:colOff>
      <xdr:row>24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10839450" y="7724775"/>
          <a:ext cx="12382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Taux d'occupation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4</xdr:row>
      <xdr:rowOff>0</xdr:rowOff>
    </xdr:from>
    <xdr:ext cx="1238250" cy="1143000"/>
    <xdr:sp>
      <xdr:nvSpPr>
        <xdr:cNvPr id="1" name="Texte 17"/>
        <xdr:cNvSpPr>
          <a:spLocks/>
        </xdr:cNvSpPr>
      </xdr:nvSpPr>
      <xdr:spPr>
        <a:xfrm>
          <a:off x="6810375" y="1695450"/>
          <a:ext cx="1238250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+ 20 ans orientés ESAT, AP (1)  et CDTD (2)</a:t>
          </a:r>
        </a:p>
      </xdr:txBody>
    </xdr:sp>
    <xdr:clientData/>
  </xdr:oneCellAnchor>
  <xdr:oneCellAnchor>
    <xdr:from>
      <xdr:col>5</xdr:col>
      <xdr:colOff>104775</xdr:colOff>
      <xdr:row>3</xdr:row>
      <xdr:rowOff>466725</xdr:rowOff>
    </xdr:from>
    <xdr:ext cx="1276350" cy="1143000"/>
    <xdr:sp>
      <xdr:nvSpPr>
        <xdr:cNvPr id="2" name="Texte 18"/>
        <xdr:cNvSpPr>
          <a:spLocks/>
        </xdr:cNvSpPr>
      </xdr:nvSpPr>
      <xdr:spPr>
        <a:xfrm>
          <a:off x="8153400" y="1695450"/>
          <a:ext cx="1276350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+ 20 ans </a:t>
          </a:r>
          <a:r>
            <a:rPr lang="en-US" cap="none" sz="1300" b="1" i="0" u="none" baseline="0">
              <a:solidFill>
                <a:srgbClr val="000000"/>
              </a:solidFill>
            </a:rPr>
            <a:t>orientés MAS</a:t>
          </a:r>
        </a:p>
      </xdr:txBody>
    </xdr:sp>
    <xdr:clientData/>
  </xdr:oneCellAnchor>
  <xdr:oneCellAnchor>
    <xdr:from>
      <xdr:col>6</xdr:col>
      <xdr:colOff>152400</xdr:colOff>
      <xdr:row>4</xdr:row>
      <xdr:rowOff>0</xdr:rowOff>
    </xdr:from>
    <xdr:ext cx="1228725" cy="1143000"/>
    <xdr:sp>
      <xdr:nvSpPr>
        <xdr:cNvPr id="3" name="Texte 19"/>
        <xdr:cNvSpPr>
          <a:spLocks/>
        </xdr:cNvSpPr>
      </xdr:nvSpPr>
      <xdr:spPr>
        <a:xfrm>
          <a:off x="9582150" y="1695450"/>
          <a:ext cx="1228725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+ 20 ans </a:t>
          </a:r>
          <a:r>
            <a:rPr lang="en-US" cap="none" sz="1300" b="1" i="0" u="none" baseline="0">
              <a:solidFill>
                <a:srgbClr val="000000"/>
              </a:solidFill>
            </a:rPr>
            <a:t>orientés Foyer</a:t>
          </a:r>
        </a:p>
      </xdr:txBody>
    </xdr:sp>
    <xdr:clientData/>
  </xdr:oneCellAnchor>
  <xdr:oneCellAnchor>
    <xdr:from>
      <xdr:col>2</xdr:col>
      <xdr:colOff>123825</xdr:colOff>
      <xdr:row>4</xdr:row>
      <xdr:rowOff>0</xdr:rowOff>
    </xdr:from>
    <xdr:ext cx="1257300" cy="1143000"/>
    <xdr:sp>
      <xdr:nvSpPr>
        <xdr:cNvPr id="4" name="Texte 38"/>
        <xdr:cNvSpPr>
          <a:spLocks/>
        </xdr:cNvSpPr>
      </xdr:nvSpPr>
      <xdr:spPr>
        <a:xfrm>
          <a:off x="4562475" y="1695450"/>
          <a:ext cx="1257300" cy="1143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TOTAL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10</xdr:col>
      <xdr:colOff>0</xdr:colOff>
      <xdr:row>9</xdr:row>
      <xdr:rowOff>0</xdr:rowOff>
    </xdr:to>
    <xdr:grpSp>
      <xdr:nvGrpSpPr>
        <xdr:cNvPr id="1" name="Group 142"/>
        <xdr:cNvGrpSpPr>
          <a:grpSpLocks/>
        </xdr:cNvGrpSpPr>
      </xdr:nvGrpSpPr>
      <xdr:grpSpPr>
        <a:xfrm>
          <a:off x="6191250" y="1857375"/>
          <a:ext cx="8686800" cy="1352550"/>
          <a:chOff x="764" y="195"/>
          <a:chExt cx="912" cy="142"/>
        </a:xfrm>
        <a:solidFill>
          <a:srgbClr val="FFFFFF"/>
        </a:solidFill>
      </xdr:grpSpPr>
      <xdr:sp>
        <xdr:nvSpPr>
          <xdr:cNvPr id="2" name="Texte 23"/>
          <xdr:cNvSpPr>
            <a:spLocks/>
          </xdr:cNvSpPr>
        </xdr:nvSpPr>
        <xdr:spPr>
          <a:xfrm>
            <a:off x="1032" y="195"/>
            <a:ext cx="399" cy="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prévisionnel proposé</a:t>
            </a:r>
          </a:p>
        </xdr:txBody>
      </xdr:sp>
      <xdr:sp>
        <xdr:nvSpPr>
          <xdr:cNvPr id="3" name="Texte 26"/>
          <xdr:cNvSpPr>
            <a:spLocks/>
          </xdr:cNvSpPr>
        </xdr:nvSpPr>
        <xdr:spPr>
          <a:xfrm>
            <a:off x="1290" y="279"/>
            <a:ext cx="141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</a:t>
            </a:r>
          </a:p>
        </xdr:txBody>
      </xdr:sp>
      <xdr:sp>
        <xdr:nvSpPr>
          <xdr:cNvPr id="4" name="Texte 27"/>
          <xdr:cNvSpPr>
            <a:spLocks/>
          </xdr:cNvSpPr>
        </xdr:nvSpPr>
        <xdr:spPr>
          <a:xfrm>
            <a:off x="1431" y="195"/>
            <a:ext cx="120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Dépenses autorisées</a:t>
            </a:r>
          </a:p>
        </xdr:txBody>
      </xdr:sp>
      <xdr:sp>
        <xdr:nvSpPr>
          <xdr:cNvPr id="5" name="Texte 28"/>
          <xdr:cNvSpPr>
            <a:spLocks/>
          </xdr:cNvSpPr>
        </xdr:nvSpPr>
        <xdr:spPr>
          <a:xfrm>
            <a:off x="764" y="195"/>
            <a:ext cx="13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Réel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n-2</a:t>
            </a:r>
          </a:p>
        </xdr:txBody>
      </xdr:sp>
      <xdr:sp>
        <xdr:nvSpPr>
          <xdr:cNvPr id="6" name="Texte 5"/>
          <xdr:cNvSpPr>
            <a:spLocks/>
          </xdr:cNvSpPr>
        </xdr:nvSpPr>
        <xdr:spPr>
          <a:xfrm>
            <a:off x="1031" y="279"/>
            <a:ext cx="137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Recon-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ductions</a:t>
            </a:r>
          </a:p>
        </xdr:txBody>
      </xdr:sp>
      <xdr:sp>
        <xdr:nvSpPr>
          <xdr:cNvPr id="7" name="Texte 7"/>
          <xdr:cNvSpPr>
            <a:spLocks/>
          </xdr:cNvSpPr>
        </xdr:nvSpPr>
        <xdr:spPr>
          <a:xfrm>
            <a:off x="1168" y="279"/>
            <a:ext cx="122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Mesures nouvelles</a:t>
            </a:r>
          </a:p>
        </xdr:txBody>
      </xdr:sp>
      <xdr:sp>
        <xdr:nvSpPr>
          <xdr:cNvPr id="8" name="Texte 9"/>
          <xdr:cNvSpPr>
            <a:spLocks/>
          </xdr:cNvSpPr>
        </xdr:nvSpPr>
        <xdr:spPr>
          <a:xfrm>
            <a:off x="1551" y="195"/>
            <a:ext cx="12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</a:t>
            </a:r>
          </a:p>
        </xdr:txBody>
      </xdr:sp>
      <xdr:sp>
        <xdr:nvSpPr>
          <xdr:cNvPr id="9" name="Texte 11"/>
          <xdr:cNvSpPr>
            <a:spLocks/>
          </xdr:cNvSpPr>
        </xdr:nvSpPr>
        <xdr:spPr>
          <a:xfrm>
            <a:off x="899" y="195"/>
            <a:ext cx="132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n-1</a:t>
            </a:r>
          </a:p>
        </xdr:txBody>
      </xdr:sp>
    </xdr:grpSp>
    <xdr:clientData/>
  </xdr:twoCellAnchor>
  <xdr:twoCellAnchor>
    <xdr:from>
      <xdr:col>3</xdr:col>
      <xdr:colOff>19050</xdr:colOff>
      <xdr:row>43</xdr:row>
      <xdr:rowOff>0</xdr:rowOff>
    </xdr:from>
    <xdr:to>
      <xdr:col>10</xdr:col>
      <xdr:colOff>0</xdr:colOff>
      <xdr:row>46</xdr:row>
      <xdr:rowOff>0</xdr:rowOff>
    </xdr:to>
    <xdr:grpSp>
      <xdr:nvGrpSpPr>
        <xdr:cNvPr id="10" name="Group 143"/>
        <xdr:cNvGrpSpPr>
          <a:grpSpLocks/>
        </xdr:cNvGrpSpPr>
      </xdr:nvGrpSpPr>
      <xdr:grpSpPr>
        <a:xfrm>
          <a:off x="6191250" y="12068175"/>
          <a:ext cx="8686800" cy="1352550"/>
          <a:chOff x="764" y="195"/>
          <a:chExt cx="912" cy="142"/>
        </a:xfrm>
        <a:solidFill>
          <a:srgbClr val="FFFFFF"/>
        </a:solidFill>
      </xdr:grpSpPr>
      <xdr:sp>
        <xdr:nvSpPr>
          <xdr:cNvPr id="11" name="Texte 23"/>
          <xdr:cNvSpPr>
            <a:spLocks/>
          </xdr:cNvSpPr>
        </xdr:nvSpPr>
        <xdr:spPr>
          <a:xfrm>
            <a:off x="1032" y="195"/>
            <a:ext cx="399" cy="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prévisionnel proposé</a:t>
            </a:r>
          </a:p>
        </xdr:txBody>
      </xdr:sp>
      <xdr:sp>
        <xdr:nvSpPr>
          <xdr:cNvPr id="12" name="Texte 26"/>
          <xdr:cNvSpPr>
            <a:spLocks/>
          </xdr:cNvSpPr>
        </xdr:nvSpPr>
        <xdr:spPr>
          <a:xfrm>
            <a:off x="1290" y="279"/>
            <a:ext cx="141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</a:t>
            </a:r>
          </a:p>
        </xdr:txBody>
      </xdr:sp>
      <xdr:sp>
        <xdr:nvSpPr>
          <xdr:cNvPr id="13" name="Texte 27"/>
          <xdr:cNvSpPr>
            <a:spLocks/>
          </xdr:cNvSpPr>
        </xdr:nvSpPr>
        <xdr:spPr>
          <a:xfrm>
            <a:off x="1431" y="195"/>
            <a:ext cx="120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Dépenses autorisées</a:t>
            </a:r>
          </a:p>
        </xdr:txBody>
      </xdr:sp>
      <xdr:sp>
        <xdr:nvSpPr>
          <xdr:cNvPr id="14" name="Texte 28"/>
          <xdr:cNvSpPr>
            <a:spLocks/>
          </xdr:cNvSpPr>
        </xdr:nvSpPr>
        <xdr:spPr>
          <a:xfrm>
            <a:off x="764" y="195"/>
            <a:ext cx="13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Réel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n-2</a:t>
            </a:r>
          </a:p>
        </xdr:txBody>
      </xdr:sp>
      <xdr:sp>
        <xdr:nvSpPr>
          <xdr:cNvPr id="15" name="Texte 5"/>
          <xdr:cNvSpPr>
            <a:spLocks/>
          </xdr:cNvSpPr>
        </xdr:nvSpPr>
        <xdr:spPr>
          <a:xfrm>
            <a:off x="1031" y="279"/>
            <a:ext cx="137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Recon-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ductions</a:t>
            </a:r>
          </a:p>
        </xdr:txBody>
      </xdr:sp>
      <xdr:sp>
        <xdr:nvSpPr>
          <xdr:cNvPr id="16" name="Texte 7"/>
          <xdr:cNvSpPr>
            <a:spLocks/>
          </xdr:cNvSpPr>
        </xdr:nvSpPr>
        <xdr:spPr>
          <a:xfrm>
            <a:off x="1168" y="279"/>
            <a:ext cx="122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Mesures nouvelles</a:t>
            </a:r>
          </a:p>
        </xdr:txBody>
      </xdr:sp>
      <xdr:sp>
        <xdr:nvSpPr>
          <xdr:cNvPr id="17" name="Texte 9"/>
          <xdr:cNvSpPr>
            <a:spLocks/>
          </xdr:cNvSpPr>
        </xdr:nvSpPr>
        <xdr:spPr>
          <a:xfrm>
            <a:off x="1551" y="195"/>
            <a:ext cx="12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</a:t>
            </a:r>
          </a:p>
        </xdr:txBody>
      </xdr:sp>
      <xdr:sp>
        <xdr:nvSpPr>
          <xdr:cNvPr id="18" name="Texte 11"/>
          <xdr:cNvSpPr>
            <a:spLocks/>
          </xdr:cNvSpPr>
        </xdr:nvSpPr>
        <xdr:spPr>
          <a:xfrm>
            <a:off x="899" y="195"/>
            <a:ext cx="132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n-1</a:t>
            </a:r>
          </a:p>
        </xdr:txBody>
      </xdr:sp>
    </xdr:grpSp>
    <xdr:clientData/>
  </xdr:twoCellAnchor>
  <xdr:twoCellAnchor>
    <xdr:from>
      <xdr:col>3</xdr:col>
      <xdr:colOff>19050</xdr:colOff>
      <xdr:row>61</xdr:row>
      <xdr:rowOff>304800</xdr:rowOff>
    </xdr:from>
    <xdr:to>
      <xdr:col>10</xdr:col>
      <xdr:colOff>0</xdr:colOff>
      <xdr:row>66</xdr:row>
      <xdr:rowOff>9525</xdr:rowOff>
    </xdr:to>
    <xdr:grpSp>
      <xdr:nvGrpSpPr>
        <xdr:cNvPr id="19" name="Group 152"/>
        <xdr:cNvGrpSpPr>
          <a:grpSpLocks/>
        </xdr:cNvGrpSpPr>
      </xdr:nvGrpSpPr>
      <xdr:grpSpPr>
        <a:xfrm>
          <a:off x="6191250" y="17821275"/>
          <a:ext cx="8686800" cy="1143000"/>
          <a:chOff x="764" y="195"/>
          <a:chExt cx="912" cy="142"/>
        </a:xfrm>
        <a:solidFill>
          <a:srgbClr val="FFFFFF"/>
        </a:solidFill>
      </xdr:grpSpPr>
      <xdr:sp>
        <xdr:nvSpPr>
          <xdr:cNvPr id="20" name="Texte 23"/>
          <xdr:cNvSpPr>
            <a:spLocks/>
          </xdr:cNvSpPr>
        </xdr:nvSpPr>
        <xdr:spPr>
          <a:xfrm>
            <a:off x="1032" y="195"/>
            <a:ext cx="399" cy="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prévisionnel proposé</a:t>
            </a:r>
          </a:p>
        </xdr:txBody>
      </xdr:sp>
      <xdr:sp>
        <xdr:nvSpPr>
          <xdr:cNvPr id="21" name="Texte 26"/>
          <xdr:cNvSpPr>
            <a:spLocks/>
          </xdr:cNvSpPr>
        </xdr:nvSpPr>
        <xdr:spPr>
          <a:xfrm>
            <a:off x="1290" y="279"/>
            <a:ext cx="141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</a:t>
            </a:r>
          </a:p>
        </xdr:txBody>
      </xdr:sp>
      <xdr:sp>
        <xdr:nvSpPr>
          <xdr:cNvPr id="22" name="Texte 27"/>
          <xdr:cNvSpPr>
            <a:spLocks/>
          </xdr:cNvSpPr>
        </xdr:nvSpPr>
        <xdr:spPr>
          <a:xfrm>
            <a:off x="1431" y="195"/>
            <a:ext cx="120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Dépenses autorisées</a:t>
            </a:r>
          </a:p>
        </xdr:txBody>
      </xdr:sp>
      <xdr:sp>
        <xdr:nvSpPr>
          <xdr:cNvPr id="23" name="Texte 28"/>
          <xdr:cNvSpPr>
            <a:spLocks/>
          </xdr:cNvSpPr>
        </xdr:nvSpPr>
        <xdr:spPr>
          <a:xfrm>
            <a:off x="764" y="195"/>
            <a:ext cx="13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Réel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n-2</a:t>
            </a:r>
          </a:p>
        </xdr:txBody>
      </xdr:sp>
      <xdr:sp>
        <xdr:nvSpPr>
          <xdr:cNvPr id="24" name="Texte 5"/>
          <xdr:cNvSpPr>
            <a:spLocks/>
          </xdr:cNvSpPr>
        </xdr:nvSpPr>
        <xdr:spPr>
          <a:xfrm>
            <a:off x="1031" y="279"/>
            <a:ext cx="137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Recon-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ductions</a:t>
            </a:r>
          </a:p>
        </xdr:txBody>
      </xdr:sp>
      <xdr:sp>
        <xdr:nvSpPr>
          <xdr:cNvPr id="25" name="Texte 7"/>
          <xdr:cNvSpPr>
            <a:spLocks/>
          </xdr:cNvSpPr>
        </xdr:nvSpPr>
        <xdr:spPr>
          <a:xfrm>
            <a:off x="1168" y="279"/>
            <a:ext cx="122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Mesures nouvelles</a:t>
            </a:r>
          </a:p>
        </xdr:txBody>
      </xdr:sp>
      <xdr:sp>
        <xdr:nvSpPr>
          <xdr:cNvPr id="26" name="Texte 9"/>
          <xdr:cNvSpPr>
            <a:spLocks/>
          </xdr:cNvSpPr>
        </xdr:nvSpPr>
        <xdr:spPr>
          <a:xfrm>
            <a:off x="1551" y="195"/>
            <a:ext cx="12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</a:t>
            </a:r>
          </a:p>
        </xdr:txBody>
      </xdr:sp>
      <xdr:sp>
        <xdr:nvSpPr>
          <xdr:cNvPr id="27" name="Texte 11"/>
          <xdr:cNvSpPr>
            <a:spLocks/>
          </xdr:cNvSpPr>
        </xdr:nvSpPr>
        <xdr:spPr>
          <a:xfrm>
            <a:off x="899" y="195"/>
            <a:ext cx="132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n-1</a:t>
            </a:r>
          </a:p>
        </xdr:txBody>
      </xdr:sp>
    </xdr:grpSp>
    <xdr:clientData/>
  </xdr:twoCellAnchor>
  <xdr:twoCellAnchor>
    <xdr:from>
      <xdr:col>3</xdr:col>
      <xdr:colOff>19050</xdr:colOff>
      <xdr:row>82</xdr:row>
      <xdr:rowOff>190500</xdr:rowOff>
    </xdr:from>
    <xdr:to>
      <xdr:col>10</xdr:col>
      <xdr:colOff>0</xdr:colOff>
      <xdr:row>85</xdr:row>
      <xdr:rowOff>247650</xdr:rowOff>
    </xdr:to>
    <xdr:grpSp>
      <xdr:nvGrpSpPr>
        <xdr:cNvPr id="28" name="Group 161"/>
        <xdr:cNvGrpSpPr>
          <a:grpSpLocks/>
        </xdr:cNvGrpSpPr>
      </xdr:nvGrpSpPr>
      <xdr:grpSpPr>
        <a:xfrm>
          <a:off x="6191250" y="23679150"/>
          <a:ext cx="8686800" cy="1219200"/>
          <a:chOff x="764" y="195"/>
          <a:chExt cx="912" cy="142"/>
        </a:xfrm>
        <a:solidFill>
          <a:srgbClr val="FFFFFF"/>
        </a:solidFill>
      </xdr:grpSpPr>
      <xdr:sp>
        <xdr:nvSpPr>
          <xdr:cNvPr id="29" name="Texte 23"/>
          <xdr:cNvSpPr>
            <a:spLocks/>
          </xdr:cNvSpPr>
        </xdr:nvSpPr>
        <xdr:spPr>
          <a:xfrm>
            <a:off x="1032" y="195"/>
            <a:ext cx="399" cy="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prévisionnel proposé</a:t>
            </a:r>
          </a:p>
        </xdr:txBody>
      </xdr:sp>
      <xdr:sp>
        <xdr:nvSpPr>
          <xdr:cNvPr id="30" name="Texte 26"/>
          <xdr:cNvSpPr>
            <a:spLocks/>
          </xdr:cNvSpPr>
        </xdr:nvSpPr>
        <xdr:spPr>
          <a:xfrm>
            <a:off x="1290" y="279"/>
            <a:ext cx="141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</a:t>
            </a:r>
          </a:p>
        </xdr:txBody>
      </xdr:sp>
      <xdr:sp>
        <xdr:nvSpPr>
          <xdr:cNvPr id="31" name="Texte 27"/>
          <xdr:cNvSpPr>
            <a:spLocks/>
          </xdr:cNvSpPr>
        </xdr:nvSpPr>
        <xdr:spPr>
          <a:xfrm>
            <a:off x="1431" y="195"/>
            <a:ext cx="120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Dépenses autorisées</a:t>
            </a:r>
          </a:p>
        </xdr:txBody>
      </xdr:sp>
      <xdr:sp>
        <xdr:nvSpPr>
          <xdr:cNvPr id="32" name="Texte 28"/>
          <xdr:cNvSpPr>
            <a:spLocks/>
          </xdr:cNvSpPr>
        </xdr:nvSpPr>
        <xdr:spPr>
          <a:xfrm>
            <a:off x="764" y="195"/>
            <a:ext cx="13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Réel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n-2</a:t>
            </a:r>
          </a:p>
        </xdr:txBody>
      </xdr:sp>
      <xdr:sp>
        <xdr:nvSpPr>
          <xdr:cNvPr id="33" name="Texte 5"/>
          <xdr:cNvSpPr>
            <a:spLocks/>
          </xdr:cNvSpPr>
        </xdr:nvSpPr>
        <xdr:spPr>
          <a:xfrm>
            <a:off x="1031" y="279"/>
            <a:ext cx="137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Recon-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ductions</a:t>
            </a:r>
          </a:p>
        </xdr:txBody>
      </xdr:sp>
      <xdr:sp>
        <xdr:nvSpPr>
          <xdr:cNvPr id="34" name="Texte 7"/>
          <xdr:cNvSpPr>
            <a:spLocks/>
          </xdr:cNvSpPr>
        </xdr:nvSpPr>
        <xdr:spPr>
          <a:xfrm>
            <a:off x="1168" y="279"/>
            <a:ext cx="122" cy="5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Mesures nouvelles</a:t>
            </a:r>
          </a:p>
        </xdr:txBody>
      </xdr:sp>
      <xdr:sp>
        <xdr:nvSpPr>
          <xdr:cNvPr id="35" name="Texte 9"/>
          <xdr:cNvSpPr>
            <a:spLocks/>
          </xdr:cNvSpPr>
        </xdr:nvSpPr>
        <xdr:spPr>
          <a:xfrm>
            <a:off x="1551" y="195"/>
            <a:ext cx="125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</a:t>
            </a:r>
          </a:p>
        </xdr:txBody>
      </xdr:sp>
      <xdr:sp>
        <xdr:nvSpPr>
          <xdr:cNvPr id="36" name="Texte 11"/>
          <xdr:cNvSpPr>
            <a:spLocks/>
          </xdr:cNvSpPr>
        </xdr:nvSpPr>
        <xdr:spPr>
          <a:xfrm>
            <a:off x="899" y="195"/>
            <a:ext cx="132" cy="14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Budget exécutoire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n-1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3</xdr:row>
      <xdr:rowOff>0</xdr:rowOff>
    </xdr:from>
    <xdr:ext cx="3381375" cy="542925"/>
    <xdr:sp>
      <xdr:nvSpPr>
        <xdr:cNvPr id="1" name="Texte 23"/>
        <xdr:cNvSpPr>
          <a:spLocks/>
        </xdr:cNvSpPr>
      </xdr:nvSpPr>
      <xdr:spPr>
        <a:xfrm>
          <a:off x="9010650" y="933450"/>
          <a:ext cx="3381375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prévisionnel proposé</a:t>
          </a:r>
        </a:p>
      </xdr:txBody>
    </xdr:sp>
    <xdr:clientData/>
  </xdr:oneCellAnchor>
  <xdr:oneCellAnchor>
    <xdr:from>
      <xdr:col>7</xdr:col>
      <xdr:colOff>19050</xdr:colOff>
      <xdr:row>4</xdr:row>
      <xdr:rowOff>38100</xdr:rowOff>
    </xdr:from>
    <xdr:ext cx="1152525" cy="438150"/>
    <xdr:sp>
      <xdr:nvSpPr>
        <xdr:cNvPr id="2" name="Texte 26"/>
        <xdr:cNvSpPr>
          <a:spLocks/>
        </xdr:cNvSpPr>
      </xdr:nvSpPr>
      <xdr:spPr>
        <a:xfrm>
          <a:off x="11249025" y="1466850"/>
          <a:ext cx="11525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</a:t>
          </a:r>
        </a:p>
      </xdr:txBody>
    </xdr:sp>
    <xdr:clientData/>
  </xdr:oneCellAnchor>
  <xdr:oneCellAnchor>
    <xdr:from>
      <xdr:col>8</xdr:col>
      <xdr:colOff>66675</xdr:colOff>
      <xdr:row>3</xdr:row>
      <xdr:rowOff>0</xdr:rowOff>
    </xdr:from>
    <xdr:ext cx="1066800" cy="933450"/>
    <xdr:sp>
      <xdr:nvSpPr>
        <xdr:cNvPr id="3" name="Texte 27"/>
        <xdr:cNvSpPr>
          <a:spLocks/>
        </xdr:cNvSpPr>
      </xdr:nvSpPr>
      <xdr:spPr>
        <a:xfrm>
          <a:off x="12458700" y="933450"/>
          <a:ext cx="1066800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Recettes autorisées</a:t>
          </a:r>
        </a:p>
      </xdr:txBody>
    </xdr:sp>
    <xdr:clientData/>
  </xdr:oneCellAnchor>
  <xdr:oneCellAnchor>
    <xdr:from>
      <xdr:col>3</xdr:col>
      <xdr:colOff>104775</xdr:colOff>
      <xdr:row>3</xdr:row>
      <xdr:rowOff>0</xdr:rowOff>
    </xdr:from>
    <xdr:ext cx="1152525" cy="885825"/>
    <xdr:sp>
      <xdr:nvSpPr>
        <xdr:cNvPr id="4" name="Texte 28"/>
        <xdr:cNvSpPr>
          <a:spLocks/>
        </xdr:cNvSpPr>
      </xdr:nvSpPr>
      <xdr:spPr>
        <a:xfrm>
          <a:off x="6543675" y="933450"/>
          <a:ext cx="1152525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Réel
</a:t>
          </a:r>
          <a:r>
            <a:rPr lang="en-US" cap="none" sz="12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oneCellAnchor>
  <xdr:oneCellAnchor>
    <xdr:from>
      <xdr:col>5</xdr:col>
      <xdr:colOff>133350</xdr:colOff>
      <xdr:row>4</xdr:row>
      <xdr:rowOff>0</xdr:rowOff>
    </xdr:from>
    <xdr:ext cx="1047750" cy="400050"/>
    <xdr:sp>
      <xdr:nvSpPr>
        <xdr:cNvPr id="5" name="Texte 5"/>
        <xdr:cNvSpPr>
          <a:spLocks/>
        </xdr:cNvSpPr>
      </xdr:nvSpPr>
      <xdr:spPr>
        <a:xfrm>
          <a:off x="9039225" y="1428750"/>
          <a:ext cx="1047750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Recon-
</a:t>
          </a:r>
          <a:r>
            <a:rPr lang="en-US" cap="none" sz="1200" b="1" i="0" u="none" baseline="0">
              <a:solidFill>
                <a:srgbClr val="000000"/>
              </a:solidFill>
            </a:rPr>
            <a:t>ductions</a:t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162050" cy="476250"/>
    <xdr:sp>
      <xdr:nvSpPr>
        <xdr:cNvPr id="6" name="Texte 7"/>
        <xdr:cNvSpPr>
          <a:spLocks/>
        </xdr:cNvSpPr>
      </xdr:nvSpPr>
      <xdr:spPr>
        <a:xfrm>
          <a:off x="10067925" y="1428750"/>
          <a:ext cx="116205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Mesures nouvelles</a:t>
          </a:r>
        </a:p>
      </xdr:txBody>
    </xdr:sp>
    <xdr:clientData/>
  </xdr:oneCellAnchor>
  <xdr:oneCellAnchor>
    <xdr:from>
      <xdr:col>9</xdr:col>
      <xdr:colOff>95250</xdr:colOff>
      <xdr:row>3</xdr:row>
      <xdr:rowOff>0</xdr:rowOff>
    </xdr:from>
    <xdr:ext cx="971550" cy="933450"/>
    <xdr:sp>
      <xdr:nvSpPr>
        <xdr:cNvPr id="7" name="Texte 9"/>
        <xdr:cNvSpPr>
          <a:spLocks/>
        </xdr:cNvSpPr>
      </xdr:nvSpPr>
      <xdr:spPr>
        <a:xfrm>
          <a:off x="13620750" y="933450"/>
          <a:ext cx="971550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</a:t>
          </a:r>
        </a:p>
      </xdr:txBody>
    </xdr:sp>
    <xdr:clientData/>
  </xdr:oneCellAnchor>
  <xdr:oneCellAnchor>
    <xdr:from>
      <xdr:col>4</xdr:col>
      <xdr:colOff>104775</xdr:colOff>
      <xdr:row>3</xdr:row>
      <xdr:rowOff>0</xdr:rowOff>
    </xdr:from>
    <xdr:ext cx="1104900" cy="885825"/>
    <xdr:sp>
      <xdr:nvSpPr>
        <xdr:cNvPr id="8" name="Texte 11"/>
        <xdr:cNvSpPr>
          <a:spLocks/>
        </xdr:cNvSpPr>
      </xdr:nvSpPr>
      <xdr:spPr>
        <a:xfrm>
          <a:off x="7800975" y="933450"/>
          <a:ext cx="1104900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
</a:t>
          </a:r>
          <a:r>
            <a:rPr lang="en-US" cap="none" sz="1200" b="1" i="0" u="none" baseline="0">
              <a:solidFill>
                <a:srgbClr val="000000"/>
              </a:solidFill>
            </a:rPr>
            <a:t>n-1</a:t>
          </a:r>
        </a:p>
      </xdr:txBody>
    </xdr:sp>
    <xdr:clientData/>
  </xdr:oneCellAnchor>
  <xdr:oneCellAnchor>
    <xdr:from>
      <xdr:col>5</xdr:col>
      <xdr:colOff>114300</xdr:colOff>
      <xdr:row>19</xdr:row>
      <xdr:rowOff>0</xdr:rowOff>
    </xdr:from>
    <xdr:ext cx="3371850" cy="923925"/>
    <xdr:sp>
      <xdr:nvSpPr>
        <xdr:cNvPr id="9" name="Texte 23"/>
        <xdr:cNvSpPr>
          <a:spLocks/>
        </xdr:cNvSpPr>
      </xdr:nvSpPr>
      <xdr:spPr>
        <a:xfrm>
          <a:off x="9020175" y="5486400"/>
          <a:ext cx="337185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prévisionnel proposé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171575" cy="371475"/>
    <xdr:sp>
      <xdr:nvSpPr>
        <xdr:cNvPr id="10" name="Texte 26"/>
        <xdr:cNvSpPr>
          <a:spLocks/>
        </xdr:cNvSpPr>
      </xdr:nvSpPr>
      <xdr:spPr>
        <a:xfrm>
          <a:off x="11229975" y="6410325"/>
          <a:ext cx="11715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</a:t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143000" cy="1285875"/>
    <xdr:sp>
      <xdr:nvSpPr>
        <xdr:cNvPr id="11" name="Texte 27"/>
        <xdr:cNvSpPr>
          <a:spLocks/>
        </xdr:cNvSpPr>
      </xdr:nvSpPr>
      <xdr:spPr>
        <a:xfrm>
          <a:off x="12392025" y="5486400"/>
          <a:ext cx="1143000" cy="1285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Recettes autorisées</a:t>
          </a:r>
        </a:p>
      </xdr:txBody>
    </xdr:sp>
    <xdr:clientData/>
  </xdr:oneCellAnchor>
  <xdr:oneCellAnchor>
    <xdr:from>
      <xdr:col>3</xdr:col>
      <xdr:colOff>104775</xdr:colOff>
      <xdr:row>19</xdr:row>
      <xdr:rowOff>0</xdr:rowOff>
    </xdr:from>
    <xdr:ext cx="1152525" cy="1295400"/>
    <xdr:sp>
      <xdr:nvSpPr>
        <xdr:cNvPr id="12" name="Texte 28"/>
        <xdr:cNvSpPr>
          <a:spLocks/>
        </xdr:cNvSpPr>
      </xdr:nvSpPr>
      <xdr:spPr>
        <a:xfrm>
          <a:off x="6543675" y="5486400"/>
          <a:ext cx="1152525" cy="129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Réel
</a:t>
          </a:r>
          <a:r>
            <a:rPr lang="en-US" cap="none" sz="12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oneCellAnchor>
  <xdr:oneCellAnchor>
    <xdr:from>
      <xdr:col>5</xdr:col>
      <xdr:colOff>142875</xdr:colOff>
      <xdr:row>22</xdr:row>
      <xdr:rowOff>0</xdr:rowOff>
    </xdr:from>
    <xdr:ext cx="1028700" cy="361950"/>
    <xdr:sp>
      <xdr:nvSpPr>
        <xdr:cNvPr id="13" name="Texte 5"/>
        <xdr:cNvSpPr>
          <a:spLocks/>
        </xdr:cNvSpPr>
      </xdr:nvSpPr>
      <xdr:spPr>
        <a:xfrm>
          <a:off x="9048750" y="6410325"/>
          <a:ext cx="10287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Recon-
</a:t>
          </a:r>
          <a:r>
            <a:rPr lang="en-US" cap="none" sz="1200" b="1" i="0" u="none" baseline="0">
              <a:solidFill>
                <a:srgbClr val="000000"/>
              </a:solidFill>
            </a:rPr>
            <a:t>ductions</a:t>
          </a:r>
        </a:p>
      </xdr:txBody>
    </xdr:sp>
    <xdr:clientData/>
  </xdr:oneCellAnchor>
  <xdr:oneCellAnchor>
    <xdr:from>
      <xdr:col>6</xdr:col>
      <xdr:colOff>47625</xdr:colOff>
      <xdr:row>22</xdr:row>
      <xdr:rowOff>0</xdr:rowOff>
    </xdr:from>
    <xdr:ext cx="1114425" cy="371475"/>
    <xdr:sp>
      <xdr:nvSpPr>
        <xdr:cNvPr id="14" name="Texte 7"/>
        <xdr:cNvSpPr>
          <a:spLocks/>
        </xdr:cNvSpPr>
      </xdr:nvSpPr>
      <xdr:spPr>
        <a:xfrm>
          <a:off x="10115550" y="6410325"/>
          <a:ext cx="11144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Mesures nouvelles</a:t>
          </a:r>
        </a:p>
      </xdr:txBody>
    </xdr:sp>
    <xdr:clientData/>
  </xdr:oneCellAnchor>
  <xdr:oneCellAnchor>
    <xdr:from>
      <xdr:col>9</xdr:col>
      <xdr:colOff>38100</xdr:colOff>
      <xdr:row>19</xdr:row>
      <xdr:rowOff>9525</xdr:rowOff>
    </xdr:from>
    <xdr:ext cx="1028700" cy="1285875"/>
    <xdr:sp>
      <xdr:nvSpPr>
        <xdr:cNvPr id="15" name="Texte 9"/>
        <xdr:cNvSpPr>
          <a:spLocks/>
        </xdr:cNvSpPr>
      </xdr:nvSpPr>
      <xdr:spPr>
        <a:xfrm>
          <a:off x="13563600" y="5495925"/>
          <a:ext cx="1028700" cy="1285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</a:t>
          </a:r>
        </a:p>
      </xdr:txBody>
    </xdr:sp>
    <xdr:clientData/>
  </xdr:oneCellAnchor>
  <xdr:oneCellAnchor>
    <xdr:from>
      <xdr:col>4</xdr:col>
      <xdr:colOff>133350</xdr:colOff>
      <xdr:row>19</xdr:row>
      <xdr:rowOff>0</xdr:rowOff>
    </xdr:from>
    <xdr:ext cx="1076325" cy="1295400"/>
    <xdr:sp>
      <xdr:nvSpPr>
        <xdr:cNvPr id="16" name="Texte 11"/>
        <xdr:cNvSpPr>
          <a:spLocks/>
        </xdr:cNvSpPr>
      </xdr:nvSpPr>
      <xdr:spPr>
        <a:xfrm>
          <a:off x="7829550" y="5486400"/>
          <a:ext cx="1076325" cy="1295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
</a:t>
          </a:r>
          <a:r>
            <a:rPr lang="en-US" cap="none" sz="1200" b="1" i="0" u="none" baseline="0">
              <a:solidFill>
                <a:srgbClr val="000000"/>
              </a:solidFill>
            </a:rPr>
            <a:t>n-1</a:t>
          </a:r>
        </a:p>
      </xdr:txBody>
    </xdr:sp>
    <xdr:clientData/>
  </xdr:oneCellAnchor>
  <xdr:oneCellAnchor>
    <xdr:from>
      <xdr:col>5</xdr:col>
      <xdr:colOff>142875</xdr:colOff>
      <xdr:row>51</xdr:row>
      <xdr:rowOff>0</xdr:rowOff>
    </xdr:from>
    <xdr:ext cx="3362325" cy="514350"/>
    <xdr:sp>
      <xdr:nvSpPr>
        <xdr:cNvPr id="17" name="Texte 23"/>
        <xdr:cNvSpPr>
          <a:spLocks/>
        </xdr:cNvSpPr>
      </xdr:nvSpPr>
      <xdr:spPr>
        <a:xfrm>
          <a:off x="9048750" y="13792200"/>
          <a:ext cx="336232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prévisionnel proposé</a:t>
          </a:r>
        </a:p>
      </xdr:txBody>
    </xdr:sp>
    <xdr:clientData/>
  </xdr:oneCellAnchor>
  <xdr:oneCellAnchor>
    <xdr:from>
      <xdr:col>7</xdr:col>
      <xdr:colOff>38100</xdr:colOff>
      <xdr:row>53</xdr:row>
      <xdr:rowOff>57150</xdr:rowOff>
    </xdr:from>
    <xdr:ext cx="1143000" cy="523875"/>
    <xdr:sp>
      <xdr:nvSpPr>
        <xdr:cNvPr id="18" name="Texte 26"/>
        <xdr:cNvSpPr>
          <a:spLocks/>
        </xdr:cNvSpPr>
      </xdr:nvSpPr>
      <xdr:spPr>
        <a:xfrm>
          <a:off x="11268075" y="14363700"/>
          <a:ext cx="114300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</a:t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133475" cy="1133475"/>
    <xdr:sp>
      <xdr:nvSpPr>
        <xdr:cNvPr id="19" name="Texte 27"/>
        <xdr:cNvSpPr>
          <a:spLocks/>
        </xdr:cNvSpPr>
      </xdr:nvSpPr>
      <xdr:spPr>
        <a:xfrm>
          <a:off x="12392025" y="13792200"/>
          <a:ext cx="113347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Recettes autorisées</a:t>
          </a:r>
        </a:p>
      </xdr:txBody>
    </xdr:sp>
    <xdr:clientData/>
  </xdr:oneCellAnchor>
  <xdr:oneCellAnchor>
    <xdr:from>
      <xdr:col>3</xdr:col>
      <xdr:colOff>142875</xdr:colOff>
      <xdr:row>51</xdr:row>
      <xdr:rowOff>0</xdr:rowOff>
    </xdr:from>
    <xdr:ext cx="1114425" cy="1133475"/>
    <xdr:sp>
      <xdr:nvSpPr>
        <xdr:cNvPr id="20" name="Texte 28"/>
        <xdr:cNvSpPr>
          <a:spLocks/>
        </xdr:cNvSpPr>
      </xdr:nvSpPr>
      <xdr:spPr>
        <a:xfrm>
          <a:off x="6581775" y="13792200"/>
          <a:ext cx="11144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Réel
</a:t>
          </a:r>
          <a:r>
            <a:rPr lang="en-US" cap="none" sz="12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oneCellAnchor>
  <xdr:oneCellAnchor>
    <xdr:from>
      <xdr:col>5</xdr:col>
      <xdr:colOff>142875</xdr:colOff>
      <xdr:row>53</xdr:row>
      <xdr:rowOff>38100</xdr:rowOff>
    </xdr:from>
    <xdr:ext cx="1028700" cy="542925"/>
    <xdr:sp>
      <xdr:nvSpPr>
        <xdr:cNvPr id="21" name="Texte 5"/>
        <xdr:cNvSpPr>
          <a:spLocks/>
        </xdr:cNvSpPr>
      </xdr:nvSpPr>
      <xdr:spPr>
        <a:xfrm>
          <a:off x="9048750" y="14344650"/>
          <a:ext cx="1028700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Recon-
</a:t>
          </a:r>
          <a:r>
            <a:rPr lang="en-US" cap="none" sz="1200" b="1" i="0" u="none" baseline="0">
              <a:solidFill>
                <a:srgbClr val="000000"/>
              </a:solidFill>
            </a:rPr>
            <a:t>ductions</a:t>
          </a:r>
        </a:p>
      </xdr:txBody>
    </xdr:sp>
    <xdr:clientData/>
  </xdr:oneCellAnchor>
  <xdr:oneCellAnchor>
    <xdr:from>
      <xdr:col>6</xdr:col>
      <xdr:colOff>47625</xdr:colOff>
      <xdr:row>53</xdr:row>
      <xdr:rowOff>38100</xdr:rowOff>
    </xdr:from>
    <xdr:ext cx="1114425" cy="542925"/>
    <xdr:sp>
      <xdr:nvSpPr>
        <xdr:cNvPr id="22" name="Texte 7"/>
        <xdr:cNvSpPr>
          <a:spLocks/>
        </xdr:cNvSpPr>
      </xdr:nvSpPr>
      <xdr:spPr>
        <a:xfrm>
          <a:off x="10115550" y="14344650"/>
          <a:ext cx="1114425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Mesures nouvelles</a:t>
          </a:r>
        </a:p>
      </xdr:txBody>
    </xdr:sp>
    <xdr:clientData/>
  </xdr:oneCellAnchor>
  <xdr:oneCellAnchor>
    <xdr:from>
      <xdr:col>9</xdr:col>
      <xdr:colOff>57150</xdr:colOff>
      <xdr:row>51</xdr:row>
      <xdr:rowOff>0</xdr:rowOff>
    </xdr:from>
    <xdr:ext cx="1009650" cy="1123950"/>
    <xdr:sp>
      <xdr:nvSpPr>
        <xdr:cNvPr id="23" name="Texte 9"/>
        <xdr:cNvSpPr>
          <a:spLocks/>
        </xdr:cNvSpPr>
      </xdr:nvSpPr>
      <xdr:spPr>
        <a:xfrm>
          <a:off x="13582650" y="13792200"/>
          <a:ext cx="1009650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</a:t>
          </a:r>
        </a:p>
      </xdr:txBody>
    </xdr:sp>
    <xdr:clientData/>
  </xdr:oneCellAnchor>
  <xdr:oneCellAnchor>
    <xdr:from>
      <xdr:col>4</xdr:col>
      <xdr:colOff>152400</xdr:colOff>
      <xdr:row>51</xdr:row>
      <xdr:rowOff>0</xdr:rowOff>
    </xdr:from>
    <xdr:ext cx="1057275" cy="1133475"/>
    <xdr:sp>
      <xdr:nvSpPr>
        <xdr:cNvPr id="24" name="Texte 11"/>
        <xdr:cNvSpPr>
          <a:spLocks/>
        </xdr:cNvSpPr>
      </xdr:nvSpPr>
      <xdr:spPr>
        <a:xfrm>
          <a:off x="7848600" y="13792200"/>
          <a:ext cx="105727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Budget exécutoire
</a:t>
          </a:r>
          <a:r>
            <a:rPr lang="en-US" cap="none" sz="1200" b="1" i="0" u="none" baseline="0">
              <a:solidFill>
                <a:srgbClr val="000000"/>
              </a:solidFill>
            </a:rPr>
            <a:t>n-1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76200</xdr:rowOff>
    </xdr:from>
    <xdr:to>
      <xdr:col>4</xdr:col>
      <xdr:colOff>0</xdr:colOff>
      <xdr:row>1</xdr:row>
      <xdr:rowOff>352425</xdr:rowOff>
    </xdr:to>
    <xdr:sp>
      <xdr:nvSpPr>
        <xdr:cNvPr id="1" name="Texte 14"/>
        <xdr:cNvSpPr>
          <a:spLocks/>
        </xdr:cNvSpPr>
      </xdr:nvSpPr>
      <xdr:spPr>
        <a:xfrm>
          <a:off x="6657975" y="76200"/>
          <a:ext cx="1428750" cy="914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Réel
</a:t>
          </a:r>
          <a:r>
            <a:rPr lang="en-US" cap="none" sz="14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twoCellAnchor>
  <xdr:twoCellAnchor>
    <xdr:from>
      <xdr:col>4</xdr:col>
      <xdr:colOff>257175</xdr:colOff>
      <xdr:row>0</xdr:row>
      <xdr:rowOff>123825</xdr:rowOff>
    </xdr:from>
    <xdr:to>
      <xdr:col>5</xdr:col>
      <xdr:colOff>9525</xdr:colOff>
      <xdr:row>1</xdr:row>
      <xdr:rowOff>352425</xdr:rowOff>
    </xdr:to>
    <xdr:sp>
      <xdr:nvSpPr>
        <xdr:cNvPr id="2" name="Texte 15"/>
        <xdr:cNvSpPr>
          <a:spLocks/>
        </xdr:cNvSpPr>
      </xdr:nvSpPr>
      <xdr:spPr>
        <a:xfrm>
          <a:off x="8343900" y="123825"/>
          <a:ext cx="1400175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Budget exécutoire
</a:t>
          </a:r>
          <a:r>
            <a:rPr lang="en-US" cap="none" sz="1400" b="1" i="0" u="none" baseline="0">
              <a:solidFill>
                <a:srgbClr val="000000"/>
              </a:solidFill>
            </a:rPr>
            <a:t>n-1</a:t>
          </a:r>
        </a:p>
      </xdr:txBody>
    </xdr:sp>
    <xdr:clientData/>
  </xdr:twoCellAnchor>
  <xdr:twoCellAnchor>
    <xdr:from>
      <xdr:col>5</xdr:col>
      <xdr:colOff>152400</xdr:colOff>
      <xdr:row>0</xdr:row>
      <xdr:rowOff>85725</xdr:rowOff>
    </xdr:from>
    <xdr:to>
      <xdr:col>6</xdr:col>
      <xdr:colOff>0</xdr:colOff>
      <xdr:row>1</xdr:row>
      <xdr:rowOff>352425</xdr:rowOff>
    </xdr:to>
    <xdr:sp>
      <xdr:nvSpPr>
        <xdr:cNvPr id="3" name="Texte 16"/>
        <xdr:cNvSpPr>
          <a:spLocks/>
        </xdr:cNvSpPr>
      </xdr:nvSpPr>
      <xdr:spPr>
        <a:xfrm>
          <a:off x="9886950" y="85725"/>
          <a:ext cx="1495425" cy="904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Budget prévisionnel
</a:t>
          </a:r>
          <a:r>
            <a:rPr lang="en-US" cap="none" sz="14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66675</xdr:rowOff>
    </xdr:from>
    <xdr:to>
      <xdr:col>3</xdr:col>
      <xdr:colOff>1647825</xdr:colOff>
      <xdr:row>1</xdr:row>
      <xdr:rowOff>295275</xdr:rowOff>
    </xdr:to>
    <xdr:sp>
      <xdr:nvSpPr>
        <xdr:cNvPr id="1" name="Texte 14"/>
        <xdr:cNvSpPr>
          <a:spLocks/>
        </xdr:cNvSpPr>
      </xdr:nvSpPr>
      <xdr:spPr>
        <a:xfrm>
          <a:off x="6524625" y="66675"/>
          <a:ext cx="1562100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Réel
</a:t>
          </a:r>
          <a:r>
            <a:rPr lang="en-US" cap="none" sz="1400" b="1" i="0" u="none" baseline="0">
              <a:solidFill>
                <a:srgbClr val="000000"/>
              </a:solidFill>
            </a:rPr>
            <a:t>n-2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4</xdr:col>
      <xdr:colOff>1647825</xdr:colOff>
      <xdr:row>1</xdr:row>
      <xdr:rowOff>276225</xdr:rowOff>
    </xdr:to>
    <xdr:sp>
      <xdr:nvSpPr>
        <xdr:cNvPr id="2" name="Texte 15"/>
        <xdr:cNvSpPr>
          <a:spLocks/>
        </xdr:cNvSpPr>
      </xdr:nvSpPr>
      <xdr:spPr>
        <a:xfrm>
          <a:off x="8201025" y="76200"/>
          <a:ext cx="1533525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Budget exécutoire
</a:t>
          </a:r>
          <a:r>
            <a:rPr lang="en-US" cap="none" sz="1400" b="1" i="0" u="none" baseline="0">
              <a:solidFill>
                <a:srgbClr val="000000"/>
              </a:solidFill>
            </a:rPr>
            <a:t>n-1</a:t>
          </a:r>
        </a:p>
      </xdr:txBody>
    </xdr:sp>
    <xdr:clientData/>
  </xdr:twoCellAnchor>
  <xdr:twoCellAnchor>
    <xdr:from>
      <xdr:col>5</xdr:col>
      <xdr:colOff>133350</xdr:colOff>
      <xdr:row>0</xdr:row>
      <xdr:rowOff>104775</xdr:rowOff>
    </xdr:from>
    <xdr:to>
      <xdr:col>6</xdr:col>
      <xdr:colOff>9525</xdr:colOff>
      <xdr:row>1</xdr:row>
      <xdr:rowOff>266700</xdr:rowOff>
    </xdr:to>
    <xdr:sp>
      <xdr:nvSpPr>
        <xdr:cNvPr id="3" name="Texte 16"/>
        <xdr:cNvSpPr>
          <a:spLocks/>
        </xdr:cNvSpPr>
      </xdr:nvSpPr>
      <xdr:spPr>
        <a:xfrm>
          <a:off x="9867900" y="104775"/>
          <a:ext cx="1524000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Budget prévisionnel
</a:t>
          </a:r>
          <a:r>
            <a:rPr lang="en-US" cap="none" sz="14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200025</xdr:rowOff>
    </xdr:from>
    <xdr:to>
      <xdr:col>3</xdr:col>
      <xdr:colOff>0</xdr:colOff>
      <xdr:row>2</xdr:row>
      <xdr:rowOff>0</xdr:rowOff>
    </xdr:to>
    <xdr:sp>
      <xdr:nvSpPr>
        <xdr:cNvPr id="1" name="Texte 4"/>
        <xdr:cNvSpPr>
          <a:spLocks/>
        </xdr:cNvSpPr>
      </xdr:nvSpPr>
      <xdr:spPr>
        <a:xfrm>
          <a:off x="4448175" y="819150"/>
          <a:ext cx="19526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Proposition de l'établissement</a:t>
          </a:r>
        </a:p>
      </xdr:txBody>
    </xdr:sp>
    <xdr:clientData/>
  </xdr:twoCellAnchor>
  <xdr:twoCellAnchor>
    <xdr:from>
      <xdr:col>3</xdr:col>
      <xdr:colOff>190500</xdr:colOff>
      <xdr:row>1</xdr:row>
      <xdr:rowOff>266700</xdr:rowOff>
    </xdr:from>
    <xdr:to>
      <xdr:col>4</xdr:col>
      <xdr:colOff>9525</xdr:colOff>
      <xdr:row>2</xdr:row>
      <xdr:rowOff>0</xdr:rowOff>
    </xdr:to>
    <xdr:sp>
      <xdr:nvSpPr>
        <xdr:cNvPr id="2" name="Texte 17"/>
        <xdr:cNvSpPr>
          <a:spLocks/>
        </xdr:cNvSpPr>
      </xdr:nvSpPr>
      <xdr:spPr>
        <a:xfrm>
          <a:off x="6591300" y="885825"/>
          <a:ext cx="21240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Retenu par l'autorité 
</a:t>
          </a:r>
          <a:r>
            <a:rPr lang="en-US" cap="none" sz="1400" b="1" i="0" u="none" baseline="0">
              <a:solidFill>
                <a:srgbClr val="000000"/>
              </a:solidFill>
            </a:rPr>
            <a:t>de tarification
</a:t>
          </a:r>
          <a:r>
            <a:rPr lang="en-US" cap="none" sz="1400" b="1" i="0" u="none" baseline="0">
              <a:solidFill>
                <a:srgbClr val="000000"/>
              </a:solidFill>
            </a:rPr>
            <a:t>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="90" zoomScaleNormal="90" zoomScalePageLayoutView="0" workbookViewId="0" topLeftCell="A1">
      <selection activeCell="G45" sqref="G45"/>
    </sheetView>
  </sheetViews>
  <sheetFormatPr defaultColWidth="11.57421875" defaultRowHeight="12.75"/>
  <cols>
    <col min="1" max="1" width="15.00390625" style="772" bestFit="1" customWidth="1"/>
    <col min="2" max="2" width="11.57421875" style="772" customWidth="1"/>
    <col min="3" max="3" width="7.57421875" style="772" customWidth="1"/>
    <col min="4" max="4" width="15.00390625" style="772" bestFit="1" customWidth="1"/>
    <col min="5" max="5" width="11.57421875" style="772" customWidth="1"/>
    <col min="6" max="6" width="9.57421875" style="772" customWidth="1"/>
    <col min="7" max="11" width="11.57421875" style="772" customWidth="1"/>
    <col min="12" max="12" width="11.28125" style="772" customWidth="1"/>
    <col min="13" max="13" width="11.57421875" style="772" customWidth="1"/>
    <col min="14" max="15" width="11.7109375" style="772" customWidth="1"/>
    <col min="16" max="16" width="11.57421875" style="772" customWidth="1"/>
    <col min="17" max="17" width="13.57421875" style="772" customWidth="1"/>
    <col min="18" max="16384" width="11.57421875" style="772" customWidth="1"/>
  </cols>
  <sheetData>
    <row r="1" spans="1:17" ht="15">
      <c r="A1" s="768"/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9"/>
    </row>
    <row r="2" spans="1:17" ht="15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9"/>
    </row>
    <row r="3" spans="1:17" ht="15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9"/>
    </row>
    <row r="4" spans="1:17" ht="15">
      <c r="A4" s="768"/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9"/>
    </row>
    <row r="5" spans="1:17" ht="15">
      <c r="A5" s="768"/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9"/>
    </row>
    <row r="6" spans="1:17" ht="15">
      <c r="A6" s="76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9"/>
    </row>
    <row r="7" spans="1:17" ht="15">
      <c r="A7" s="768"/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9"/>
    </row>
    <row r="8" spans="1:17" ht="15">
      <c r="A8" s="768"/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9"/>
    </row>
    <row r="9" spans="1:17" ht="15">
      <c r="A9" s="768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9"/>
    </row>
    <row r="10" spans="1:17" ht="15">
      <c r="A10" s="768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9"/>
    </row>
    <row r="11" spans="1:17" ht="15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9"/>
    </row>
    <row r="12" spans="1:17" ht="15">
      <c r="A12" s="768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9"/>
    </row>
    <row r="13" spans="1:17" ht="15">
      <c r="A13" s="768"/>
      <c r="B13" s="768"/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9"/>
    </row>
    <row r="14" spans="1:17" ht="15">
      <c r="A14" s="768"/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9"/>
    </row>
    <row r="15" spans="1:17" ht="15">
      <c r="A15" s="768"/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9"/>
    </row>
    <row r="16" spans="1:17" ht="15">
      <c r="A16" s="768"/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9"/>
    </row>
    <row r="17" spans="1:19" ht="23.25">
      <c r="A17" s="768"/>
      <c r="B17" s="768"/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9"/>
      <c r="S17" s="771"/>
    </row>
    <row r="18" spans="1:17" ht="15">
      <c r="A18" s="768"/>
      <c r="B18" s="768"/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9"/>
    </row>
    <row r="19" spans="1:17" ht="15">
      <c r="A19" s="768"/>
      <c r="B19" s="768"/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9"/>
    </row>
    <row r="20" spans="1:17" ht="15">
      <c r="A20" s="768"/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9"/>
    </row>
    <row r="21" spans="1:17" ht="15">
      <c r="A21" s="768"/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9"/>
    </row>
    <row r="22" spans="1:17" ht="15">
      <c r="A22" s="768"/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9"/>
    </row>
    <row r="23" spans="1:17" ht="15">
      <c r="A23" s="768"/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9"/>
    </row>
    <row r="24" spans="1:17" ht="15">
      <c r="A24" s="768"/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9"/>
    </row>
    <row r="25" spans="1:17" ht="15">
      <c r="A25" s="768"/>
      <c r="B25" s="768"/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9"/>
    </row>
    <row r="26" spans="1:17" ht="15">
      <c r="A26" s="768"/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9"/>
    </row>
    <row r="27" spans="1:17" ht="15">
      <c r="A27" s="768"/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9"/>
    </row>
    <row r="28" spans="1:17" ht="15">
      <c r="A28" s="768"/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9"/>
    </row>
    <row r="29" spans="1:17" ht="15">
      <c r="A29" s="768"/>
      <c r="B29" s="768"/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9"/>
    </row>
    <row r="30" spans="1:17" ht="15">
      <c r="A30" s="768"/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9"/>
    </row>
    <row r="31" spans="1:17" ht="15">
      <c r="A31" s="768"/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9"/>
    </row>
    <row r="32" spans="1:17" ht="15">
      <c r="A32" s="768"/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9"/>
    </row>
    <row r="33" spans="1:17" ht="15">
      <c r="A33" s="768"/>
      <c r="B33" s="768"/>
      <c r="C33" s="768"/>
      <c r="D33" s="768"/>
      <c r="E33" s="768"/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9"/>
    </row>
    <row r="34" spans="1:17" ht="15">
      <c r="A34" s="768"/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9"/>
    </row>
    <row r="35" spans="1:17" ht="15">
      <c r="A35" s="768"/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9"/>
    </row>
    <row r="36" spans="1:17" ht="15">
      <c r="A36" s="768"/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9"/>
    </row>
    <row r="37" spans="1:17" ht="15">
      <c r="A37" s="768"/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9"/>
    </row>
    <row r="38" spans="1:17" ht="15">
      <c r="A38" s="768"/>
      <c r="B38" s="768"/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9"/>
    </row>
    <row r="39" spans="1:17" ht="15">
      <c r="A39" s="769"/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</row>
    <row r="40" spans="1:17" ht="15" hidden="1">
      <c r="A40" s="773"/>
      <c r="B40" s="773"/>
      <c r="C40" s="773"/>
      <c r="D40" s="773"/>
      <c r="E40" s="773"/>
      <c r="F40" s="773"/>
      <c r="G40" s="773"/>
      <c r="H40" s="773"/>
      <c r="I40" s="773"/>
      <c r="J40" s="773"/>
      <c r="K40" s="773"/>
      <c r="L40" s="773"/>
      <c r="M40" s="773"/>
      <c r="N40" s="773"/>
      <c r="O40" s="773"/>
      <c r="P40" s="773"/>
      <c r="Q40" s="773"/>
    </row>
    <row r="41" spans="1:17" ht="15" hidden="1">
      <c r="A41" s="773"/>
      <c r="B41" s="773"/>
      <c r="C41" s="773"/>
      <c r="D41" s="773"/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</row>
    <row r="42" spans="1:17" ht="15" hidden="1">
      <c r="A42" s="773"/>
      <c r="B42" s="773"/>
      <c r="C42" s="773"/>
      <c r="D42" s="773"/>
      <c r="E42" s="773"/>
      <c r="F42" s="773"/>
      <c r="G42" s="773"/>
      <c r="H42" s="773"/>
      <c r="I42" s="773"/>
      <c r="J42" s="773"/>
      <c r="K42" s="773"/>
      <c r="L42" s="773"/>
      <c r="M42" s="773"/>
      <c r="N42" s="773"/>
      <c r="O42" s="773"/>
      <c r="P42" s="773"/>
      <c r="Q42" s="773"/>
    </row>
    <row r="43" spans="1:17" ht="15" hidden="1">
      <c r="A43" s="773"/>
      <c r="B43" s="773"/>
      <c r="C43" s="773"/>
      <c r="D43" s="773"/>
      <c r="E43" s="773"/>
      <c r="F43" s="773"/>
      <c r="G43" s="773"/>
      <c r="H43" s="773"/>
      <c r="I43" s="773"/>
      <c r="J43" s="773"/>
      <c r="K43" s="773"/>
      <c r="L43" s="773"/>
      <c r="M43" s="773"/>
      <c r="N43" s="773"/>
      <c r="O43" s="773"/>
      <c r="P43" s="773"/>
      <c r="Q43" s="773"/>
    </row>
    <row r="44" spans="1:17" ht="15" hidden="1">
      <c r="A44" s="773"/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</row>
    <row r="45" spans="1:17" s="778" customFormat="1" ht="27" customHeight="1">
      <c r="A45" s="774" t="s">
        <v>19</v>
      </c>
      <c r="B45" s="775">
        <v>2022</v>
      </c>
      <c r="C45" s="776"/>
      <c r="D45" s="774" t="s">
        <v>20</v>
      </c>
      <c r="E45" s="775">
        <v>1</v>
      </c>
      <c r="F45" s="777" t="s">
        <v>280</v>
      </c>
      <c r="G45" s="781">
        <f>Année</f>
        <v>2023</v>
      </c>
      <c r="H45" s="770"/>
      <c r="I45" s="770"/>
      <c r="J45" s="770"/>
      <c r="K45" s="770"/>
      <c r="L45" s="770"/>
      <c r="M45" s="770"/>
      <c r="N45" s="770"/>
      <c r="O45" s="770"/>
      <c r="P45" s="770"/>
      <c r="Q45" s="770"/>
    </row>
  </sheetData>
  <sheetProtection password="B34F" sheet="1" object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88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.140625" style="0" customWidth="1"/>
    <col min="2" max="2" width="1.57421875" style="0" customWidth="1"/>
    <col min="3" max="3" width="45.8515625" style="0" customWidth="1"/>
    <col min="4" max="8" width="11.7109375" style="0" customWidth="1"/>
    <col min="9" max="10" width="18.28125" style="0" customWidth="1"/>
    <col min="11" max="11" width="1.7109375" style="0" customWidth="1"/>
    <col min="12" max="12" width="3.28125" style="0" customWidth="1"/>
  </cols>
  <sheetData>
    <row r="1" ht="13.5" thickBot="1"/>
    <row r="2" spans="2:11" ht="37.5" customHeight="1" thickBot="1">
      <c r="B2" s="869" t="s">
        <v>281</v>
      </c>
      <c r="C2" s="870"/>
      <c r="D2" s="870"/>
      <c r="E2" s="870"/>
      <c r="F2" s="870"/>
      <c r="G2" s="870"/>
      <c r="H2" s="870"/>
      <c r="I2" s="870"/>
      <c r="J2" s="870"/>
      <c r="K2" s="871"/>
    </row>
    <row r="3" spans="2:11" ht="19.5" customHeight="1">
      <c r="B3" s="696"/>
      <c r="C3" s="693"/>
      <c r="D3" s="695"/>
      <c r="E3" s="695"/>
      <c r="F3" s="695"/>
      <c r="G3" s="695"/>
      <c r="H3" s="697"/>
      <c r="I3" s="697"/>
      <c r="J3" s="695"/>
      <c r="K3" s="694"/>
    </row>
    <row r="4" spans="2:11" ht="19.5" customHeight="1">
      <c r="B4" s="696"/>
      <c r="C4" s="693"/>
      <c r="D4" s="866" t="s">
        <v>376</v>
      </c>
      <c r="E4" s="866"/>
      <c r="F4" s="866"/>
      <c r="G4" s="866"/>
      <c r="H4" s="866"/>
      <c r="I4" s="686" t="s">
        <v>377</v>
      </c>
      <c r="J4" s="686" t="s">
        <v>378</v>
      </c>
      <c r="K4" s="694"/>
    </row>
    <row r="5" spans="2:11" ht="18" customHeight="1">
      <c r="B5" s="698"/>
      <c r="C5" s="865" t="s">
        <v>282</v>
      </c>
      <c r="D5" s="865" t="s">
        <v>283</v>
      </c>
      <c r="E5" s="866" t="s">
        <v>284</v>
      </c>
      <c r="F5" s="866"/>
      <c r="G5" s="866" t="s">
        <v>285</v>
      </c>
      <c r="H5" s="866"/>
      <c r="I5" s="867" t="s">
        <v>287</v>
      </c>
      <c r="J5" s="867" t="s">
        <v>287</v>
      </c>
      <c r="K5" s="694"/>
    </row>
    <row r="6" spans="2:11" ht="58.5" customHeight="1">
      <c r="B6" s="699"/>
      <c r="C6" s="865"/>
      <c r="D6" s="865"/>
      <c r="E6" s="686" t="s">
        <v>286</v>
      </c>
      <c r="F6" s="686" t="s">
        <v>287</v>
      </c>
      <c r="G6" s="686" t="s">
        <v>286</v>
      </c>
      <c r="H6" s="686" t="s">
        <v>287</v>
      </c>
      <c r="I6" s="868"/>
      <c r="J6" s="868"/>
      <c r="K6" s="694"/>
    </row>
    <row r="7" spans="2:11" ht="13.5" customHeight="1">
      <c r="B7" s="698"/>
      <c r="C7" s="693"/>
      <c r="D7" s="700" t="s">
        <v>52</v>
      </c>
      <c r="E7" s="700" t="s">
        <v>53</v>
      </c>
      <c r="F7" s="700" t="s">
        <v>54</v>
      </c>
      <c r="G7" s="700" t="s">
        <v>288</v>
      </c>
      <c r="H7" s="700" t="s">
        <v>289</v>
      </c>
      <c r="I7" s="700" t="s">
        <v>57</v>
      </c>
      <c r="J7" s="700" t="s">
        <v>57</v>
      </c>
      <c r="K7" s="694"/>
    </row>
    <row r="8" spans="2:13" ht="13.5" customHeight="1">
      <c r="B8" s="701"/>
      <c r="C8" s="703" t="s">
        <v>290</v>
      </c>
      <c r="D8" s="708">
        <f aca="true" t="shared" si="0" ref="D8:J8">SUM(D9:D24)</f>
        <v>0</v>
      </c>
      <c r="E8" s="708">
        <f t="shared" si="0"/>
        <v>0</v>
      </c>
      <c r="F8" s="709">
        <f t="shared" si="0"/>
        <v>0</v>
      </c>
      <c r="G8" s="708">
        <f t="shared" si="0"/>
        <v>0</v>
      </c>
      <c r="H8" s="692">
        <f t="shared" si="0"/>
        <v>0</v>
      </c>
      <c r="I8" s="710">
        <f t="shared" si="0"/>
        <v>0</v>
      </c>
      <c r="J8" s="710">
        <f t="shared" si="0"/>
        <v>0</v>
      </c>
      <c r="K8" s="694"/>
      <c r="M8" s="690" t="s">
        <v>291</v>
      </c>
    </row>
    <row r="9" spans="2:13" ht="12.75">
      <c r="B9" s="701"/>
      <c r="C9" s="704" t="s">
        <v>292</v>
      </c>
      <c r="D9" s="779">
        <f>NNETPGestDCT_Budgetex_N1-NNETPTPGestDCT_Budgetex_N1</f>
        <v>0</v>
      </c>
      <c r="E9" s="779">
        <f>NNAgTPGestDCT_Budgetex_N1</f>
        <v>0</v>
      </c>
      <c r="F9" s="823">
        <f>NNETPTPGestDCT_Budgetex_N1</f>
        <v>0</v>
      </c>
      <c r="G9" s="687">
        <f aca="true" t="shared" si="1" ref="G9:G24">D9+E9</f>
        <v>0</v>
      </c>
      <c r="H9" s="688">
        <f aca="true" t="shared" si="2" ref="H9:H24">D9+F9</f>
        <v>0</v>
      </c>
      <c r="I9" s="823">
        <f>NNETPGestDCT_Budgetpr</f>
        <v>0</v>
      </c>
      <c r="J9" s="823">
        <f>NNETPGestDCT_Budgetre</f>
        <v>0</v>
      </c>
      <c r="K9" s="694"/>
      <c r="M9" s="689" t="s">
        <v>293</v>
      </c>
    </row>
    <row r="10" spans="2:13" ht="12.75">
      <c r="B10" s="701"/>
      <c r="C10" s="704" t="s">
        <v>294</v>
      </c>
      <c r="D10" s="779">
        <f>NNETPGestMDR_Budgetex_N1-NNETPTPGestMDR_Budgetex_N1</f>
        <v>0</v>
      </c>
      <c r="E10" s="779">
        <f>NNAgTPGestMDR_Budgetex_N1</f>
        <v>0</v>
      </c>
      <c r="F10" s="823">
        <f>NNETPTPGestMDR_Budgetex_N1</f>
        <v>0</v>
      </c>
      <c r="G10" s="687">
        <f t="shared" si="1"/>
        <v>0</v>
      </c>
      <c r="H10" s="688">
        <f t="shared" si="2"/>
        <v>0</v>
      </c>
      <c r="I10" s="823">
        <f>NNETPGestMDR_Budgetpr</f>
        <v>0</v>
      </c>
      <c r="J10" s="823">
        <f>NNETPGestMDR_Budgetre</f>
        <v>0</v>
      </c>
      <c r="K10" s="694"/>
      <c r="M10" s="689" t="s">
        <v>295</v>
      </c>
    </row>
    <row r="11" spans="2:13" ht="12.75">
      <c r="B11" s="701"/>
      <c r="C11" s="704" t="s">
        <v>296</v>
      </c>
      <c r="D11" s="779">
        <f>NNETPGestDAJ_Budgetex_N1-NNETPTPGestDAJ_Budgetex_N1</f>
        <v>0</v>
      </c>
      <c r="E11" s="779">
        <f>NNAgTPGestDAJ_Budgetex_N1</f>
        <v>0</v>
      </c>
      <c r="F11" s="823">
        <f>NNETPTPGestDAJ_Budgetex_N1</f>
        <v>0</v>
      </c>
      <c r="G11" s="687">
        <f t="shared" si="1"/>
        <v>0</v>
      </c>
      <c r="H11" s="688">
        <f t="shared" si="2"/>
        <v>0</v>
      </c>
      <c r="I11" s="823">
        <f>NNETPGestDAJ_Budgetpr</f>
        <v>0</v>
      </c>
      <c r="J11" s="823">
        <f>NNETPGestDAJ_Budgetre</f>
        <v>0</v>
      </c>
      <c r="K11" s="694"/>
      <c r="M11" s="689" t="s">
        <v>297</v>
      </c>
    </row>
    <row r="12" spans="2:13" ht="12.75">
      <c r="B12" s="701"/>
      <c r="C12" s="704" t="s">
        <v>298</v>
      </c>
      <c r="D12" s="779">
        <f>NNETPGestESE_Budgetex_N1-NNETPTPGestESE_Budgetex_N1</f>
        <v>0</v>
      </c>
      <c r="E12" s="779">
        <f>NNAgTPGestESE_Budgetex_N1</f>
        <v>0</v>
      </c>
      <c r="F12" s="823">
        <f>NNETPTPGestESE_Budgetex_N1</f>
        <v>0</v>
      </c>
      <c r="G12" s="687">
        <f t="shared" si="1"/>
        <v>0</v>
      </c>
      <c r="H12" s="688">
        <f t="shared" si="2"/>
        <v>0</v>
      </c>
      <c r="I12" s="823">
        <f>NNETPGestESE_Budgetpr</f>
        <v>0</v>
      </c>
      <c r="J12" s="823">
        <f>NNETPGestESE_Budgetre</f>
        <v>0</v>
      </c>
      <c r="K12" s="694"/>
      <c r="M12" s="689" t="s">
        <v>299</v>
      </c>
    </row>
    <row r="13" spans="2:13" ht="12.75">
      <c r="B13" s="701"/>
      <c r="C13" s="704" t="s">
        <v>300</v>
      </c>
      <c r="D13" s="779">
        <f>NNETPGestETE_Budgetex_N1-NNETPTPGestETE_Budgetex_N1</f>
        <v>0</v>
      </c>
      <c r="E13" s="779">
        <f>NNAgTPGestETE_Budgetex_N1</f>
        <v>0</v>
      </c>
      <c r="F13" s="823">
        <f>NNETPTPGestETE_Budgetex_N1</f>
        <v>0</v>
      </c>
      <c r="G13" s="687">
        <f t="shared" si="1"/>
        <v>0</v>
      </c>
      <c r="H13" s="688">
        <f t="shared" si="2"/>
        <v>0</v>
      </c>
      <c r="I13" s="823">
        <f>NNETPGestETE_Budgetpr</f>
        <v>0</v>
      </c>
      <c r="J13" s="823">
        <f>NNETPGestETE_Budgetre</f>
        <v>0</v>
      </c>
      <c r="K13" s="694"/>
      <c r="M13" s="689" t="s">
        <v>301</v>
      </c>
    </row>
    <row r="14" spans="2:13" ht="12.75">
      <c r="B14" s="701"/>
      <c r="C14" s="704" t="s">
        <v>302</v>
      </c>
      <c r="D14" s="779">
        <f>NNETPGestTSE_Budgetex_N1-NNETPTPGestTSE_Budgetex_N1</f>
        <v>0</v>
      </c>
      <c r="E14" s="779">
        <f>NNAgTPGestTSE_Budgetex_N1</f>
        <v>0</v>
      </c>
      <c r="F14" s="823">
        <f>NNETPTPGestTSE_Budgetex_N1</f>
        <v>0</v>
      </c>
      <c r="G14" s="687">
        <f t="shared" si="1"/>
        <v>0</v>
      </c>
      <c r="H14" s="688">
        <f t="shared" si="2"/>
        <v>0</v>
      </c>
      <c r="I14" s="823">
        <f>NNETPGestTSE_Budgetpr</f>
        <v>0</v>
      </c>
      <c r="J14" s="823">
        <f>NNETPGestTSE_Budgetre</f>
        <v>0</v>
      </c>
      <c r="K14" s="694"/>
      <c r="M14" s="689" t="s">
        <v>303</v>
      </c>
    </row>
    <row r="15" spans="2:11" ht="12.75">
      <c r="B15" s="701"/>
      <c r="C15" s="704" t="s">
        <v>304</v>
      </c>
      <c r="D15" s="779">
        <f>NNETPGestCAT_Budgetex_N1-NNETPTPGestCAT_Budgetex_N1</f>
        <v>0</v>
      </c>
      <c r="E15" s="779">
        <f>NNAgTPGestCAT_Budgetex_N1</f>
        <v>0</v>
      </c>
      <c r="F15" s="823">
        <f>NNETPTPGestCAT_Budgetex_N1</f>
        <v>0</v>
      </c>
      <c r="G15" s="687">
        <f t="shared" si="1"/>
        <v>0</v>
      </c>
      <c r="H15" s="688">
        <f t="shared" si="2"/>
        <v>0</v>
      </c>
      <c r="I15" s="823">
        <f>NNETPGestCAT_Budgetpr</f>
        <v>0</v>
      </c>
      <c r="J15" s="823">
        <f>NNETPGestCAT_Budgetre</f>
        <v>0</v>
      </c>
      <c r="K15" s="694"/>
    </row>
    <row r="16" spans="2:11" ht="12.75">
      <c r="B16" s="701"/>
      <c r="C16" s="704" t="s">
        <v>305</v>
      </c>
      <c r="D16" s="779">
        <f>NNETPGestASE_Budgetex_N1-NNETPTPGestASE_Budgetex_N1</f>
        <v>0</v>
      </c>
      <c r="E16" s="779">
        <f>NNAgTPGestASE_Budgetex_N1</f>
        <v>0</v>
      </c>
      <c r="F16" s="823">
        <f>NNETPTPGestASE_Budgetex_N1</f>
        <v>0</v>
      </c>
      <c r="G16" s="687">
        <f t="shared" si="1"/>
        <v>0</v>
      </c>
      <c r="H16" s="688">
        <f t="shared" si="2"/>
        <v>0</v>
      </c>
      <c r="I16" s="823">
        <f>NNETPGestASE_Budgetpr</f>
        <v>0</v>
      </c>
      <c r="J16" s="823">
        <f>NNETPGestASE_Budgetre</f>
        <v>0</v>
      </c>
      <c r="K16" s="694"/>
    </row>
    <row r="17" spans="2:11" ht="12.75">
      <c r="B17" s="701"/>
      <c r="C17" s="704" t="s">
        <v>306</v>
      </c>
      <c r="D17" s="779">
        <f>NNETPGestEEE_Budgetex_N1-NNETPTPGestEEE_Budgetex_N1</f>
        <v>0</v>
      </c>
      <c r="E17" s="779">
        <f>NNAgTPGestEEE_Budgetex_N1</f>
        <v>0</v>
      </c>
      <c r="F17" s="823">
        <f>NNETPTPGestEEE_Budgetex_N1</f>
        <v>0</v>
      </c>
      <c r="G17" s="687">
        <f t="shared" si="1"/>
        <v>0</v>
      </c>
      <c r="H17" s="688">
        <f t="shared" si="2"/>
        <v>0</v>
      </c>
      <c r="I17" s="823">
        <f>NNETPGestEEE_Budgetpr</f>
        <v>0</v>
      </c>
      <c r="J17" s="823">
        <f>NNETPGestEEE_Budgetre</f>
        <v>0</v>
      </c>
      <c r="K17" s="694"/>
    </row>
    <row r="18" spans="2:11" ht="12.75">
      <c r="B18" s="701"/>
      <c r="C18" s="704" t="s">
        <v>307</v>
      </c>
      <c r="D18" s="779">
        <f>NNETPGestCEE_Budgetex_N1-NNETPTPGestCEE_Budgetex_N1</f>
        <v>0</v>
      </c>
      <c r="E18" s="779">
        <f>NNAgTPGestCEE_Budgetex_N1</f>
        <v>0</v>
      </c>
      <c r="F18" s="823">
        <f>NNETPTPGestCEE_Budgetex_N1</f>
        <v>0</v>
      </c>
      <c r="G18" s="687">
        <f t="shared" si="1"/>
        <v>0</v>
      </c>
      <c r="H18" s="688">
        <f t="shared" si="2"/>
        <v>0</v>
      </c>
      <c r="I18" s="823">
        <f>NNETPGestCEE_Budgetpr</f>
        <v>0</v>
      </c>
      <c r="J18" s="823">
        <f>NNETPGestCEE_Budgetre</f>
        <v>0</v>
      </c>
      <c r="K18" s="694"/>
    </row>
    <row r="19" spans="2:11" ht="12.75">
      <c r="B19" s="701"/>
      <c r="C19" s="704" t="s">
        <v>308</v>
      </c>
      <c r="D19" s="779">
        <f>NNETPGestCSE_Budgetex_N1-NNETPTPGestCSE_Budgetex_N1</f>
        <v>0</v>
      </c>
      <c r="E19" s="779">
        <f>NNAgTPGestCSE_Budgetex_N1</f>
        <v>0</v>
      </c>
      <c r="F19" s="823">
        <f>NNETPTPGestCSE_Budgetex_N1</f>
        <v>0</v>
      </c>
      <c r="G19" s="687">
        <f t="shared" si="1"/>
        <v>0</v>
      </c>
      <c r="H19" s="688">
        <f t="shared" si="2"/>
        <v>0</v>
      </c>
      <c r="I19" s="823">
        <f>NNETPGestCSE_Budgetpr</f>
        <v>0</v>
      </c>
      <c r="J19" s="823">
        <f>NNETPGestCSE_Budgetre</f>
        <v>0</v>
      </c>
      <c r="K19" s="694"/>
    </row>
    <row r="20" spans="2:11" ht="12.75">
      <c r="B20" s="701"/>
      <c r="C20" s="704" t="s">
        <v>309</v>
      </c>
      <c r="D20" s="779">
        <f>NNETPGestCIE_Budgetex_N1-NNETPTPGestCIE_Budgetex_N1</f>
        <v>0</v>
      </c>
      <c r="E20" s="779">
        <f>NNAgTPGestCIE_Budgetex_N1</f>
        <v>0</v>
      </c>
      <c r="F20" s="823">
        <f>NNETPTPGestCIE_Budgetex_N1</f>
        <v>0</v>
      </c>
      <c r="G20" s="687">
        <f t="shared" si="1"/>
        <v>0</v>
      </c>
      <c r="H20" s="688">
        <f t="shared" si="2"/>
        <v>0</v>
      </c>
      <c r="I20" s="823">
        <f>NNETPGestCIE_Budgetpr</f>
        <v>0</v>
      </c>
      <c r="J20" s="823">
        <f>NNETPGestCIE_Budgetre</f>
        <v>0</v>
      </c>
      <c r="K20" s="694"/>
    </row>
    <row r="21" spans="2:11" ht="12.75">
      <c r="B21" s="701"/>
      <c r="C21" s="704" t="s">
        <v>310</v>
      </c>
      <c r="D21" s="779">
        <f>NNETPGestCIP_Budgetex_N1-NNETPTPGestCIP_Budgetex_N1</f>
        <v>0</v>
      </c>
      <c r="E21" s="779">
        <f>NNAgTPGestCIP_Budgetex_N1</f>
        <v>0</v>
      </c>
      <c r="F21" s="823">
        <f>NNETPTPGestCIP_Budgetex_N1</f>
        <v>0</v>
      </c>
      <c r="G21" s="687">
        <f t="shared" si="1"/>
        <v>0</v>
      </c>
      <c r="H21" s="688">
        <f t="shared" si="2"/>
        <v>0</v>
      </c>
      <c r="I21" s="823">
        <f>NNETPGestCIP_Budgetpr</f>
        <v>0</v>
      </c>
      <c r="J21" s="823">
        <f>NNETPGestCIP_Budgetre</f>
        <v>0</v>
      </c>
      <c r="K21" s="694"/>
    </row>
    <row r="22" spans="2:11" ht="12.75">
      <c r="B22" s="701"/>
      <c r="C22" s="704" t="s">
        <v>311</v>
      </c>
      <c r="D22" s="779">
        <f>NNETPGestACP_Budgetex_N1-NNETPTPGestACP_Budgetex_N1</f>
        <v>0</v>
      </c>
      <c r="E22" s="779">
        <f>NNAgTPGestACP_Budgetex_N1</f>
        <v>0</v>
      </c>
      <c r="F22" s="823">
        <f>NNETPTPGestACP_Budgetex_N1</f>
        <v>0</v>
      </c>
      <c r="G22" s="687">
        <f t="shared" si="1"/>
        <v>0</v>
      </c>
      <c r="H22" s="688">
        <f t="shared" si="2"/>
        <v>0</v>
      </c>
      <c r="I22" s="823">
        <f>NNETPGestACP_Budgetpr</f>
        <v>0</v>
      </c>
      <c r="J22" s="823">
        <f>NNETPGestACP_Budgetre</f>
        <v>0</v>
      </c>
      <c r="K22" s="694"/>
    </row>
    <row r="23" spans="2:11" ht="12.75">
      <c r="B23" s="701"/>
      <c r="C23" s="704" t="s">
        <v>312</v>
      </c>
      <c r="D23" s="779">
        <f>NNETPGestCPR_Budgetex_N1-NNETPTPGestCPR_Budgetex_N1</f>
        <v>0</v>
      </c>
      <c r="E23" s="779">
        <f>NNAgTPGestCPR_Budgetex_N1</f>
        <v>0</v>
      </c>
      <c r="F23" s="823">
        <f>NNETPTPGestCPR_Budgetex_N1</f>
        <v>0</v>
      </c>
      <c r="G23" s="687">
        <f t="shared" si="1"/>
        <v>0</v>
      </c>
      <c r="H23" s="688">
        <f t="shared" si="2"/>
        <v>0</v>
      </c>
      <c r="I23" s="823">
        <f>NNETPGestCPR_Budgetpr</f>
        <v>0</v>
      </c>
      <c r="J23" s="823">
        <f>NNETPGestCPR_Budgetre</f>
        <v>0</v>
      </c>
      <c r="K23" s="694"/>
    </row>
    <row r="24" spans="2:11" ht="13.5" customHeight="1">
      <c r="B24" s="701"/>
      <c r="C24" s="704" t="s">
        <v>313</v>
      </c>
      <c r="D24" s="779">
        <f>NNETPGestCDS_Budgetex_N1-NNETPTPGestCDS_Budgetex_N1</f>
        <v>0</v>
      </c>
      <c r="E24" s="779">
        <f>NNAgTPGestCDS_Budgetex_N1</f>
        <v>0</v>
      </c>
      <c r="F24" s="823">
        <f>NNETPTPGestCDS_Budgetex_N1</f>
        <v>0</v>
      </c>
      <c r="G24" s="687">
        <f t="shared" si="1"/>
        <v>0</v>
      </c>
      <c r="H24" s="688">
        <f t="shared" si="2"/>
        <v>0</v>
      </c>
      <c r="I24" s="823">
        <f>NNETPGestCDS_Budgetpr</f>
        <v>0</v>
      </c>
      <c r="J24" s="823">
        <f>NNETPGestCDS_Budgetre</f>
        <v>0</v>
      </c>
      <c r="K24" s="694"/>
    </row>
    <row r="25" spans="2:11" ht="12.75">
      <c r="B25" s="701"/>
      <c r="C25" s="703" t="s">
        <v>314</v>
      </c>
      <c r="D25" s="708">
        <f aca="true" t="shared" si="3" ref="D25:J25">SUM(D26:D27)</f>
        <v>0</v>
      </c>
      <c r="E25" s="708">
        <f t="shared" si="3"/>
        <v>0</v>
      </c>
      <c r="F25" s="709">
        <f t="shared" si="3"/>
        <v>0</v>
      </c>
      <c r="G25" s="708">
        <f t="shared" si="3"/>
        <v>0</v>
      </c>
      <c r="H25" s="691">
        <f t="shared" si="3"/>
        <v>0</v>
      </c>
      <c r="I25" s="710">
        <f t="shared" si="3"/>
        <v>0</v>
      </c>
      <c r="J25" s="710">
        <f t="shared" si="3"/>
        <v>0</v>
      </c>
      <c r="K25" s="694"/>
    </row>
    <row r="26" spans="2:11" ht="12.75">
      <c r="B26" s="701"/>
      <c r="C26" s="704" t="s">
        <v>315</v>
      </c>
      <c r="D26" s="779">
        <f>NNETPGestAAB_Budgetex_N1-NNETPTPGestAAB_Budgetex_N1</f>
        <v>0</v>
      </c>
      <c r="E26" s="779">
        <f>NNAgTPGestAAB_Budgetex_N1</f>
        <v>0</v>
      </c>
      <c r="F26" s="823">
        <f>NNETPTPGestAAB_Budgetex_N1</f>
        <v>0</v>
      </c>
      <c r="G26" s="687">
        <f>D26+E26</f>
        <v>0</v>
      </c>
      <c r="H26" s="688">
        <f>D26+F26</f>
        <v>0</v>
      </c>
      <c r="I26" s="823">
        <f>NNETPGestAAB_Budgetpr</f>
        <v>0</v>
      </c>
      <c r="J26" s="823">
        <f>NNETPGestAAB_Budgetre</f>
        <v>0</v>
      </c>
      <c r="K26" s="694"/>
    </row>
    <row r="27" spans="2:11" ht="13.5" customHeight="1">
      <c r="B27" s="701"/>
      <c r="C27" s="704" t="s">
        <v>316</v>
      </c>
      <c r="D27" s="779">
        <f>NNETPGestADA_Budgetex_N1-NNETPTPGestADA_Budgetex_N1</f>
        <v>0</v>
      </c>
      <c r="E27" s="779">
        <f>NNAgTPGestADA_Budgetex_N1</f>
        <v>0</v>
      </c>
      <c r="F27" s="823">
        <f>NNETPTPGestADA_Budgetex_N1</f>
        <v>0</v>
      </c>
      <c r="G27" s="687">
        <f>D27+E27</f>
        <v>0</v>
      </c>
      <c r="H27" s="688">
        <f>D27+F27</f>
        <v>0</v>
      </c>
      <c r="I27" s="823">
        <f>NNETPGestADA_Budgetpr</f>
        <v>0</v>
      </c>
      <c r="J27" s="823">
        <f>NNETPGestADA_Budgetre</f>
        <v>0</v>
      </c>
      <c r="K27" s="694"/>
    </row>
    <row r="28" spans="2:11" ht="12.75">
      <c r="B28" s="701"/>
      <c r="C28" s="703" t="s">
        <v>317</v>
      </c>
      <c r="D28" s="708">
        <f>SUM(D29:D32)</f>
        <v>0</v>
      </c>
      <c r="E28" s="708">
        <f aca="true" t="shared" si="4" ref="E28:J28">SUM(E29:E32)</f>
        <v>0</v>
      </c>
      <c r="F28" s="709">
        <f t="shared" si="4"/>
        <v>0</v>
      </c>
      <c r="G28" s="708">
        <f t="shared" si="4"/>
        <v>0</v>
      </c>
      <c r="H28" s="691">
        <f t="shared" si="4"/>
        <v>0</v>
      </c>
      <c r="I28" s="710">
        <f t="shared" si="4"/>
        <v>0</v>
      </c>
      <c r="J28" s="710">
        <f t="shared" si="4"/>
        <v>0</v>
      </c>
      <c r="K28" s="694"/>
    </row>
    <row r="29" spans="2:11" ht="12.75">
      <c r="B29" s="701"/>
      <c r="C29" s="704" t="s">
        <v>318</v>
      </c>
      <c r="D29" s="779">
        <f>NNETPGestAGG_Budgetex_N1-NNETPTPGestAGG_Budgetex_N1</f>
        <v>0</v>
      </c>
      <c r="E29" s="779">
        <f>NNAgTPGestAGG_Budgetex_N1</f>
        <v>0</v>
      </c>
      <c r="F29" s="823">
        <f>NNETPTPGestAGG_Budgetex_N1</f>
        <v>0</v>
      </c>
      <c r="G29" s="687">
        <f>D29+E29</f>
        <v>0</v>
      </c>
      <c r="H29" s="688">
        <f>D29+F29</f>
        <v>0</v>
      </c>
      <c r="I29" s="823">
        <f>NNETPGestAGG_Budgetpr</f>
        <v>0</v>
      </c>
      <c r="J29" s="823">
        <f>NNETPGestAGG_Budgetre</f>
        <v>0</v>
      </c>
      <c r="K29" s="694"/>
    </row>
    <row r="30" spans="2:11" ht="12.75">
      <c r="B30" s="701"/>
      <c r="C30" s="704" t="s">
        <v>319</v>
      </c>
      <c r="D30" s="779">
        <f>NNETPGestOUP_Budgetex_N1-NNETPTPGestOUP_Budgetex_N1</f>
        <v>0</v>
      </c>
      <c r="E30" s="779">
        <f>NNAgTPGestOUP_Budgetex_N1</f>
        <v>0</v>
      </c>
      <c r="F30" s="823">
        <f>NNETPTPGestOUP_Budgetex_N1</f>
        <v>0</v>
      </c>
      <c r="G30" s="687">
        <f>D30+E30</f>
        <v>0</v>
      </c>
      <c r="H30" s="688">
        <f>D30+F30</f>
        <v>0</v>
      </c>
      <c r="I30" s="823">
        <f>NNETPGestOUP_Budgetpr</f>
        <v>0</v>
      </c>
      <c r="J30" s="823">
        <f>NNETPGestOUP_Budgetre</f>
        <v>0</v>
      </c>
      <c r="K30" s="694"/>
    </row>
    <row r="31" spans="2:11" ht="12.75">
      <c r="B31" s="701"/>
      <c r="C31" s="704" t="s">
        <v>320</v>
      </c>
      <c r="D31" s="779">
        <f>NNETPGestMDM_Budgetex_N1-NNETPTPGestMDM_Budgetex_N1</f>
        <v>0</v>
      </c>
      <c r="E31" s="779">
        <f>NNAgTPGestMDM_Budgetex_N1</f>
        <v>0</v>
      </c>
      <c r="F31" s="823">
        <f>NNETPTPGestMDM_Budgetex_N1</f>
        <v>0</v>
      </c>
      <c r="G31" s="687">
        <f>D31+E31</f>
        <v>0</v>
      </c>
      <c r="H31" s="688">
        <f>D31+F31</f>
        <v>0</v>
      </c>
      <c r="I31" s="823">
        <f>NNETPGestMDM_Budgetpr</f>
        <v>0</v>
      </c>
      <c r="J31" s="823">
        <f>NNETPGestMDM_Budgetre</f>
        <v>0</v>
      </c>
      <c r="K31" s="694"/>
    </row>
    <row r="32" spans="2:11" ht="12.75">
      <c r="B32" s="701"/>
      <c r="C32" s="704" t="s">
        <v>321</v>
      </c>
      <c r="D32" s="779">
        <f>NNETPGestVDN_Budgetex_N1-NNETPTPGestVDN_Budgetex_N1</f>
        <v>0</v>
      </c>
      <c r="E32" s="779">
        <f>NNAgTPGestVDN_Budgetex_N1</f>
        <v>0</v>
      </c>
      <c r="F32" s="823">
        <f>NNETPTPGestVDN_Budgetex_N1</f>
        <v>0</v>
      </c>
      <c r="G32" s="687">
        <f>D32+E32</f>
        <v>0</v>
      </c>
      <c r="H32" s="688">
        <f>D32+F32</f>
        <v>0</v>
      </c>
      <c r="I32" s="823">
        <f>NNETPGestVDN_Budgetpr</f>
        <v>0</v>
      </c>
      <c r="J32" s="823">
        <f>NNETPGestVDN_Budgetre</f>
        <v>0</v>
      </c>
      <c r="K32" s="694"/>
    </row>
    <row r="33" spans="2:11" ht="12.75">
      <c r="B33" s="701"/>
      <c r="C33" s="703" t="s">
        <v>322</v>
      </c>
      <c r="D33" s="780">
        <f>NNETPGestRES_Budgetex_N1-NNETPTPGestRES_Budgetex_N1</f>
        <v>0</v>
      </c>
      <c r="E33" s="780">
        <f>NNAgTPGestRES_Budgetex_N1</f>
        <v>0</v>
      </c>
      <c r="F33" s="824">
        <f>NNETPTPGestRES_Budgetex_N1</f>
        <v>0</v>
      </c>
      <c r="G33" s="711">
        <f>D33+E33</f>
        <v>0</v>
      </c>
      <c r="H33" s="712">
        <f>D33+F33</f>
        <v>0</v>
      </c>
      <c r="I33" s="824">
        <f>NNETPGestRES_Budgetpr</f>
        <v>0</v>
      </c>
      <c r="J33" s="824">
        <f>NNETPGestRES_Budgetre</f>
        <v>0</v>
      </c>
      <c r="K33" s="694"/>
    </row>
    <row r="34" spans="2:11" ht="12.75">
      <c r="B34" s="701"/>
      <c r="C34" s="703" t="s">
        <v>323</v>
      </c>
      <c r="D34" s="708">
        <f aca="true" t="shared" si="5" ref="D34:J34">SUM(D35:D67)</f>
        <v>0</v>
      </c>
      <c r="E34" s="708">
        <f t="shared" si="5"/>
        <v>0</v>
      </c>
      <c r="F34" s="709">
        <f t="shared" si="5"/>
        <v>0</v>
      </c>
      <c r="G34" s="708">
        <f t="shared" si="5"/>
        <v>0</v>
      </c>
      <c r="H34" s="691">
        <f t="shared" si="5"/>
        <v>0</v>
      </c>
      <c r="I34" s="710">
        <f t="shared" si="5"/>
        <v>0</v>
      </c>
      <c r="J34" s="710">
        <f t="shared" si="5"/>
        <v>0</v>
      </c>
      <c r="K34" s="694"/>
    </row>
    <row r="35" spans="2:11" ht="12.75">
      <c r="B35" s="701"/>
      <c r="C35" s="704" t="s">
        <v>324</v>
      </c>
      <c r="D35" s="779">
        <f>NNETPGestESC_Budgetex_N1-NNETPTPGestESC_Budgetex_N1</f>
        <v>0</v>
      </c>
      <c r="E35" s="779">
        <f>NNAgTPGestESC_Budgetex_N1</f>
        <v>0</v>
      </c>
      <c r="F35" s="823">
        <f>NNETPTPGestESC_Budgetex_N1</f>
        <v>0</v>
      </c>
      <c r="G35" s="687">
        <f aca="true" t="shared" si="6" ref="G35:G67">D35+E35</f>
        <v>0</v>
      </c>
      <c r="H35" s="688">
        <f aca="true" t="shared" si="7" ref="H35:H67">D35+F35</f>
        <v>0</v>
      </c>
      <c r="I35" s="823">
        <f>NNETPGestESC_Budgetpr</f>
        <v>0</v>
      </c>
      <c r="J35" s="823">
        <f>NNETPGestESC_Budgetre</f>
        <v>0</v>
      </c>
      <c r="K35" s="694"/>
    </row>
    <row r="36" spans="2:11" ht="12.75">
      <c r="B36" s="701"/>
      <c r="C36" s="704" t="s">
        <v>325</v>
      </c>
      <c r="D36" s="779">
        <f>NNETPGestITS_Budgetex_N1-NNETPTPGestITS_Budgetex_N1</f>
        <v>0</v>
      </c>
      <c r="E36" s="779">
        <f>NNAgTPGestITS_Budgetex_N1</f>
        <v>0</v>
      </c>
      <c r="F36" s="823">
        <f>NNETPTPGestITS_Budgetex_N1</f>
        <v>0</v>
      </c>
      <c r="G36" s="687">
        <f t="shared" si="6"/>
        <v>0</v>
      </c>
      <c r="H36" s="688">
        <f t="shared" si="7"/>
        <v>0</v>
      </c>
      <c r="I36" s="823">
        <f>NNETPGestITS_Budgetpr</f>
        <v>0</v>
      </c>
      <c r="J36" s="823">
        <f>NNETPGestITS_Budgetre</f>
        <v>0</v>
      </c>
      <c r="K36" s="694"/>
    </row>
    <row r="37" spans="2:11" ht="12.75">
      <c r="B37" s="701"/>
      <c r="C37" s="704" t="s">
        <v>326</v>
      </c>
      <c r="D37" s="779">
        <f>NNETPGestITT_Budgetex_N1-NNETPTPGestITT_Budgetex_N1</f>
        <v>0</v>
      </c>
      <c r="E37" s="779">
        <f>NNAgTPGestITT_Budgetex_N1</f>
        <v>0</v>
      </c>
      <c r="F37" s="823">
        <f>NNETPTPGestITT_Budgetex_N1</f>
        <v>0</v>
      </c>
      <c r="G37" s="687">
        <f t="shared" si="6"/>
        <v>0</v>
      </c>
      <c r="H37" s="688">
        <f t="shared" si="7"/>
        <v>0</v>
      </c>
      <c r="I37" s="823">
        <f>NNETPGestITT_Budgetpr</f>
        <v>0</v>
      </c>
      <c r="J37" s="823">
        <f>NNETPGestITT_Budgetre</f>
        <v>0</v>
      </c>
      <c r="K37" s="694"/>
    </row>
    <row r="38" spans="2:11" ht="12.75">
      <c r="B38" s="701"/>
      <c r="C38" s="704" t="s">
        <v>327</v>
      </c>
      <c r="D38" s="779">
        <f>NNETPGestPDE_Budgetex_N1-NNETPTPGestPDE_Budgetex_N1</f>
        <v>0</v>
      </c>
      <c r="E38" s="779">
        <f>NNAgTPGestPDE_Budgetex_N1</f>
        <v>0</v>
      </c>
      <c r="F38" s="823">
        <f>NNETPTPGestPDE_Budgetex_N1</f>
        <v>0</v>
      </c>
      <c r="G38" s="687">
        <f t="shared" si="6"/>
        <v>0</v>
      </c>
      <c r="H38" s="688">
        <f t="shared" si="7"/>
        <v>0</v>
      </c>
      <c r="I38" s="823">
        <f>NNETPGestPDE_Budgetpr</f>
        <v>0</v>
      </c>
      <c r="J38" s="823">
        <f>NNETPGestPDE_Budgetre</f>
        <v>0</v>
      </c>
      <c r="K38" s="694"/>
    </row>
    <row r="39" spans="2:11" ht="12.75">
      <c r="B39" s="701"/>
      <c r="C39" s="704" t="s">
        <v>328</v>
      </c>
      <c r="D39" s="779">
        <f>NNETPGestPAG_Budgetex_N1-NNETPTPGestPAG_Budgetex_N1</f>
        <v>0</v>
      </c>
      <c r="E39" s="779">
        <f>NNAgTPGestPAG_Budgetex_N1</f>
        <v>0</v>
      </c>
      <c r="F39" s="823">
        <f>NNETPTPGestPAG_Budgetex_N1</f>
        <v>0</v>
      </c>
      <c r="G39" s="687">
        <f t="shared" si="6"/>
        <v>0</v>
      </c>
      <c r="H39" s="688">
        <f t="shared" si="7"/>
        <v>0</v>
      </c>
      <c r="I39" s="823">
        <f>NNETPGestPAG_Budgetpr</f>
        <v>0</v>
      </c>
      <c r="J39" s="823">
        <f>NNETPGestPAG_Budgetre</f>
        <v>0</v>
      </c>
      <c r="K39" s="694"/>
    </row>
    <row r="40" spans="2:11" ht="12.75">
      <c r="B40" s="701"/>
      <c r="C40" s="704" t="s">
        <v>329</v>
      </c>
      <c r="D40" s="779">
        <f>NNETPGestPEG_Budgetex_N1-NNETPTPGestPEG_Budgetex_N1</f>
        <v>0</v>
      </c>
      <c r="E40" s="779">
        <f>NNAgTPGestPEG_Budgetex_N1</f>
        <v>0</v>
      </c>
      <c r="F40" s="823">
        <f>NNETPTPGestPEG_Budgetex_N1</f>
        <v>0</v>
      </c>
      <c r="G40" s="687">
        <f t="shared" si="6"/>
        <v>0</v>
      </c>
      <c r="H40" s="688">
        <f t="shared" si="7"/>
        <v>0</v>
      </c>
      <c r="I40" s="823">
        <f>NNETPGestPEG_Budgetpr</f>
        <v>0</v>
      </c>
      <c r="J40" s="823">
        <f>NNETPGestPEG_Budgetre</f>
        <v>0</v>
      </c>
      <c r="K40" s="694"/>
    </row>
    <row r="41" spans="2:11" ht="12.75">
      <c r="B41" s="701"/>
      <c r="C41" s="704" t="s">
        <v>330</v>
      </c>
      <c r="D41" s="779">
        <f>NNETPGestPLP_Budgetex_N1-NNETPTPGestPLP_Budgetex_N1</f>
        <v>0</v>
      </c>
      <c r="E41" s="779">
        <f>NNAgTPGestPLP_Budgetex_N1</f>
        <v>0</v>
      </c>
      <c r="F41" s="823">
        <f>NNETPTPGestPLP_Budgetex_N1</f>
        <v>0</v>
      </c>
      <c r="G41" s="687">
        <f t="shared" si="6"/>
        <v>0</v>
      </c>
      <c r="H41" s="688">
        <f t="shared" si="7"/>
        <v>0</v>
      </c>
      <c r="I41" s="823">
        <f>NNETPGestPLP_Budgetpr</f>
        <v>0</v>
      </c>
      <c r="J41" s="823">
        <f>NNETPGestPLP_Budgetre</f>
        <v>0</v>
      </c>
      <c r="K41" s="694"/>
    </row>
    <row r="42" spans="2:11" ht="12.75">
      <c r="B42" s="701"/>
      <c r="C42" s="704" t="s">
        <v>331</v>
      </c>
      <c r="D42" s="779">
        <f>NNETPGestMAU_Budgetex_N1-NNETPTPGestMAU_Budgetex_N1</f>
        <v>0</v>
      </c>
      <c r="E42" s="779">
        <f>NNAgTPGestMAU_Budgetex_N1</f>
        <v>0</v>
      </c>
      <c r="F42" s="823">
        <f>NNETPTPGestMAU_Budgetex_N1</f>
        <v>0</v>
      </c>
      <c r="G42" s="687">
        <f t="shared" si="6"/>
        <v>0</v>
      </c>
      <c r="H42" s="688">
        <f t="shared" si="7"/>
        <v>0</v>
      </c>
      <c r="I42" s="823">
        <f>NNETPGestMAU_Budgetpr</f>
        <v>0</v>
      </c>
      <c r="J42" s="823">
        <f>NNETPGestMAU_Budgetre</f>
        <v>0</v>
      </c>
      <c r="K42" s="694"/>
    </row>
    <row r="43" spans="2:11" ht="12.75">
      <c r="B43" s="701"/>
      <c r="C43" s="704" t="s">
        <v>332</v>
      </c>
      <c r="D43" s="779">
        <f>NNETPGestPME_Budgetex_N1-NNETPTPGestPME_Budgetex_N1</f>
        <v>0</v>
      </c>
      <c r="E43" s="779">
        <f>NNAgTPGestPME_Budgetex_N1</f>
        <v>0</v>
      </c>
      <c r="F43" s="823">
        <f>NNETPTPGestPME_Budgetex_N1</f>
        <v>0</v>
      </c>
      <c r="G43" s="687">
        <f t="shared" si="6"/>
        <v>0</v>
      </c>
      <c r="H43" s="688">
        <f t="shared" si="7"/>
        <v>0</v>
      </c>
      <c r="I43" s="823">
        <f>NNETPGestPME_Budgetpr</f>
        <v>0</v>
      </c>
      <c r="J43" s="823">
        <f>NNETPGestPME_Budgetre</f>
        <v>0</v>
      </c>
      <c r="K43" s="694"/>
    </row>
    <row r="44" spans="2:11" ht="13.5" customHeight="1">
      <c r="B44" s="701"/>
      <c r="C44" s="704" t="s">
        <v>333</v>
      </c>
      <c r="D44" s="779">
        <f>NNETPGestPTE_Budgetex_N1-NNETPTPGestPTE_Budgetex_N1</f>
        <v>0</v>
      </c>
      <c r="E44" s="779">
        <f>NNAgTPGestPTE_Budgetex_N1</f>
        <v>0</v>
      </c>
      <c r="F44" s="823">
        <f>NNETPTPGestPTE_Budgetex_N1</f>
        <v>0</v>
      </c>
      <c r="G44" s="687">
        <f t="shared" si="6"/>
        <v>0</v>
      </c>
      <c r="H44" s="688">
        <f t="shared" si="7"/>
        <v>0</v>
      </c>
      <c r="I44" s="823">
        <f>NNETPGestPTE_Budgetpr</f>
        <v>0</v>
      </c>
      <c r="J44" s="823">
        <f>NNETPGestPTE_Budgetre</f>
        <v>0</v>
      </c>
      <c r="K44" s="694"/>
    </row>
    <row r="45" spans="2:11" ht="12.75">
      <c r="B45" s="701"/>
      <c r="C45" s="704" t="s">
        <v>334</v>
      </c>
      <c r="D45" s="779">
        <f>NNETPGestETS_Budgetex_N1-NNETPTPGestETS_Budgetex_N1</f>
        <v>0</v>
      </c>
      <c r="E45" s="779">
        <f>NNAgTPGestETS_Budgetex_N1</f>
        <v>0</v>
      </c>
      <c r="F45" s="823">
        <f>NNETPTPGestETS_Budgetex_N1</f>
        <v>0</v>
      </c>
      <c r="G45" s="687">
        <f t="shared" si="6"/>
        <v>0</v>
      </c>
      <c r="H45" s="688">
        <f t="shared" si="7"/>
        <v>0</v>
      </c>
      <c r="I45" s="823">
        <f>NNETPGestETS_Budgetpr</f>
        <v>0</v>
      </c>
      <c r="J45" s="823">
        <f>NNETPGestETS_Budgetre</f>
        <v>0</v>
      </c>
      <c r="K45" s="694"/>
    </row>
    <row r="46" spans="2:11" ht="12.75">
      <c r="B46" s="701"/>
      <c r="C46" s="704" t="s">
        <v>335</v>
      </c>
      <c r="D46" s="779">
        <f>NNETPGestEDT_Budgetex_N1-NNETPTPGestEDT_Budgetex_N1</f>
        <v>0</v>
      </c>
      <c r="E46" s="779">
        <f>NNAgTPGestEDT_Budgetex_N1</f>
        <v>0</v>
      </c>
      <c r="F46" s="823">
        <f>NNETPTPGestEDT_Budgetex_N1</f>
        <v>0</v>
      </c>
      <c r="G46" s="687">
        <f t="shared" si="6"/>
        <v>0</v>
      </c>
      <c r="H46" s="688">
        <f t="shared" si="7"/>
        <v>0</v>
      </c>
      <c r="I46" s="823">
        <f>NNETPGestEDT_Budgetpr</f>
        <v>0</v>
      </c>
      <c r="J46" s="823">
        <f>NNETPGestEDT_Budgetre</f>
        <v>0</v>
      </c>
      <c r="K46" s="694"/>
    </row>
    <row r="47" spans="2:11" ht="12.75">
      <c r="B47" s="701"/>
      <c r="C47" s="704" t="s">
        <v>336</v>
      </c>
      <c r="D47" s="779">
        <f>NNETPGestMOA_Budgetex_N1-NNETPTPGestMOA_Budgetex_N1</f>
        <v>0</v>
      </c>
      <c r="E47" s="779">
        <f>NNAgTPGestMOA_Budgetex_N1</f>
        <v>0</v>
      </c>
      <c r="F47" s="823">
        <f>NNETPTPGestMOA_Budgetex_N1</f>
        <v>0</v>
      </c>
      <c r="G47" s="687">
        <f t="shared" si="6"/>
        <v>0</v>
      </c>
      <c r="H47" s="688">
        <f t="shared" si="7"/>
        <v>0</v>
      </c>
      <c r="I47" s="823">
        <f>NNETPGestMOA_Budgetpr</f>
        <v>0</v>
      </c>
      <c r="J47" s="823">
        <f>NNETPGestMOA_Budgetre</f>
        <v>0</v>
      </c>
      <c r="K47" s="694"/>
    </row>
    <row r="48" spans="2:11" ht="12.75">
      <c r="B48" s="701"/>
      <c r="C48" s="704" t="s">
        <v>337</v>
      </c>
      <c r="D48" s="779">
        <f>NNETPGestEDS_Budgetex_N1-NNETPTPGestEDS_Budgetex_N1</f>
        <v>0</v>
      </c>
      <c r="E48" s="779">
        <f>NNAgTPGestEDS_Budgetex_N1</f>
        <v>0</v>
      </c>
      <c r="F48" s="823">
        <f>NNETPTPGestEDS_Budgetex_N1</f>
        <v>0</v>
      </c>
      <c r="G48" s="687">
        <f t="shared" si="6"/>
        <v>0</v>
      </c>
      <c r="H48" s="688">
        <f t="shared" si="7"/>
        <v>0</v>
      </c>
      <c r="I48" s="823">
        <f>NNETPGestEDS_Budgetpr</f>
        <v>0</v>
      </c>
      <c r="J48" s="823">
        <f>NNETPGestEDS_Budgetre</f>
        <v>0</v>
      </c>
      <c r="K48" s="694"/>
    </row>
    <row r="49" spans="2:11" ht="12.75">
      <c r="B49" s="701"/>
      <c r="C49" s="704" t="s">
        <v>338</v>
      </c>
      <c r="D49" s="779">
        <f>NNETPGestMOE_Budgetex_N1-NNETPTPGestMOE_Budgetex_N1</f>
        <v>0</v>
      </c>
      <c r="E49" s="779">
        <f>NNAgTPGestMOE_Budgetex_N1</f>
        <v>0</v>
      </c>
      <c r="F49" s="823">
        <f>NNETPTPGestMOE_Budgetex_N1</f>
        <v>0</v>
      </c>
      <c r="G49" s="687">
        <f t="shared" si="6"/>
        <v>0</v>
      </c>
      <c r="H49" s="688">
        <f t="shared" si="7"/>
        <v>0</v>
      </c>
      <c r="I49" s="823">
        <f>NNETPGestMOE_Budgetpr</f>
        <v>0</v>
      </c>
      <c r="J49" s="823">
        <f>NNETPGestMOE_Budgetre</f>
        <v>0</v>
      </c>
      <c r="K49" s="694"/>
    </row>
    <row r="50" spans="2:11" ht="12.75">
      <c r="B50" s="701"/>
      <c r="C50" s="704" t="s">
        <v>339</v>
      </c>
      <c r="D50" s="779">
        <f>NNETPGestMJE_Budgetex_N1-NNETPTPGestMJE_Budgetex_N1</f>
        <v>0</v>
      </c>
      <c r="E50" s="779">
        <f>NNAgTPGestMJE_Budgetex_N1</f>
        <v>0</v>
      </c>
      <c r="F50" s="823">
        <f>NNETPTPGestMJE_Budgetex_N1</f>
        <v>0</v>
      </c>
      <c r="G50" s="687">
        <f t="shared" si="6"/>
        <v>0</v>
      </c>
      <c r="H50" s="688">
        <f t="shared" si="7"/>
        <v>0</v>
      </c>
      <c r="I50" s="823">
        <f>NNETPGestMJE_Budgetpr</f>
        <v>0</v>
      </c>
      <c r="J50" s="823">
        <f>NNETPGestMJE_Budgetre</f>
        <v>0</v>
      </c>
      <c r="K50" s="694"/>
    </row>
    <row r="51" spans="2:11" ht="12.75">
      <c r="B51" s="701"/>
      <c r="C51" s="704" t="s">
        <v>340</v>
      </c>
      <c r="D51" s="779">
        <f>NNETPGestAM2_Budgetex_N1-NNETPTPGestAM2_Budgetex_N1</f>
        <v>0</v>
      </c>
      <c r="E51" s="779">
        <f>NNAgTPGestAM2_Budgetex_N1</f>
        <v>0</v>
      </c>
      <c r="F51" s="823">
        <f>NNETPTPGestAM2_Budgetex_N1</f>
        <v>0</v>
      </c>
      <c r="G51" s="687">
        <f t="shared" si="6"/>
        <v>0</v>
      </c>
      <c r="H51" s="688">
        <f t="shared" si="7"/>
        <v>0</v>
      </c>
      <c r="I51" s="823">
        <f>NNETPGestAM2_Budgetpr</f>
        <v>0</v>
      </c>
      <c r="J51" s="823">
        <f>NNETPGestAM2_Budgetre</f>
        <v>0</v>
      </c>
      <c r="K51" s="694"/>
    </row>
    <row r="52" spans="2:11" ht="12.75">
      <c r="B52" s="701"/>
      <c r="C52" s="704" t="s">
        <v>341</v>
      </c>
      <c r="D52" s="779">
        <f>NNETPGestASO_Budgetex_N1-NNETPTPGestASO_Budgetex_N1</f>
        <v>0</v>
      </c>
      <c r="E52" s="779">
        <f>NNAgTPGestASO_Budgetex_N1</f>
        <v>0</v>
      </c>
      <c r="F52" s="823">
        <f>NNETPTPGestASO_Budgetex_N1</f>
        <v>0</v>
      </c>
      <c r="G52" s="687">
        <f t="shared" si="6"/>
        <v>0</v>
      </c>
      <c r="H52" s="688">
        <f t="shared" si="7"/>
        <v>0</v>
      </c>
      <c r="I52" s="823">
        <f>NNETPGestASO_Budgetpr</f>
        <v>0</v>
      </c>
      <c r="J52" s="823">
        <f>NNETPGestASO_Budgetre</f>
        <v>0</v>
      </c>
      <c r="K52" s="694"/>
    </row>
    <row r="53" spans="2:11" ht="12.75">
      <c r="B53" s="701"/>
      <c r="C53" s="704" t="s">
        <v>342</v>
      </c>
      <c r="D53" s="779">
        <f>NNETPGestPJJ_Budgetex_N1-NNETPTPGestPJJ_Budgetex_N1</f>
        <v>0</v>
      </c>
      <c r="E53" s="779">
        <f>NNAgTPGestPJJ_Budgetex_N1</f>
        <v>0</v>
      </c>
      <c r="F53" s="823">
        <f>NNETPTPGestPJJ_Budgetex_N1</f>
        <v>0</v>
      </c>
      <c r="G53" s="687">
        <f t="shared" si="6"/>
        <v>0</v>
      </c>
      <c r="H53" s="688">
        <f t="shared" si="7"/>
        <v>0</v>
      </c>
      <c r="I53" s="823">
        <f>NNETPGestPJJ_Budgetpr</f>
        <v>0</v>
      </c>
      <c r="J53" s="823">
        <f>NNETPGestPJJ_Budgetre</f>
        <v>0</v>
      </c>
      <c r="K53" s="694"/>
    </row>
    <row r="54" spans="2:11" ht="12.75">
      <c r="B54" s="701"/>
      <c r="C54" s="704" t="s">
        <v>343</v>
      </c>
      <c r="D54" s="779">
        <f>NNETPGestASS_Budgetex_N1-NNETPTPGestASS_Budgetex_N1</f>
        <v>0</v>
      </c>
      <c r="E54" s="779">
        <f>NNAgTPGestASS_Budgetex_N1</f>
        <v>0</v>
      </c>
      <c r="F54" s="823">
        <f>NNETPTPGestASS_Budgetex_N1</f>
        <v>0</v>
      </c>
      <c r="G54" s="687">
        <f t="shared" si="6"/>
        <v>0</v>
      </c>
      <c r="H54" s="688">
        <f t="shared" si="7"/>
        <v>0</v>
      </c>
      <c r="I54" s="823">
        <f>NNETPGestASS_Budgetpr</f>
        <v>0</v>
      </c>
      <c r="J54" s="823">
        <f>NNETPGestASS_Budgetre</f>
        <v>0</v>
      </c>
      <c r="K54" s="694"/>
    </row>
    <row r="55" spans="2:11" ht="12.75">
      <c r="B55" s="701"/>
      <c r="C55" s="704" t="s">
        <v>344</v>
      </c>
      <c r="D55" s="779">
        <f>NNETPGestMEM_Budgetex_N1-NNETPTPGestMEM_Budgetex_N1</f>
        <v>0</v>
      </c>
      <c r="E55" s="779">
        <f>NNAgTPGestMEM_Budgetex_N1</f>
        <v>0</v>
      </c>
      <c r="F55" s="823">
        <f>NNETPTPGestMEM_Budgetex_N1</f>
        <v>0</v>
      </c>
      <c r="G55" s="687">
        <f t="shared" si="6"/>
        <v>0</v>
      </c>
      <c r="H55" s="688">
        <f t="shared" si="7"/>
        <v>0</v>
      </c>
      <c r="I55" s="823">
        <f>NNETPGestMEM_Budgetpr</f>
        <v>0</v>
      </c>
      <c r="J55" s="823">
        <f>NNETPGestMEM_Budgetre</f>
        <v>0</v>
      </c>
      <c r="K55" s="694"/>
    </row>
    <row r="56" spans="2:11" ht="12.75">
      <c r="B56" s="701"/>
      <c r="C56" s="704" t="s">
        <v>345</v>
      </c>
      <c r="D56" s="779">
        <f>NNETPGestCES_Budgetex_N1-NNETPTPGestCES_Budgetex_N1</f>
        <v>0</v>
      </c>
      <c r="E56" s="779">
        <f>NNAgTPGestCES_Budgetex_N1</f>
        <v>0</v>
      </c>
      <c r="F56" s="823">
        <f>NNETPTPGestCES_Budgetex_N1</f>
        <v>0</v>
      </c>
      <c r="G56" s="687">
        <f t="shared" si="6"/>
        <v>0</v>
      </c>
      <c r="H56" s="688">
        <f t="shared" si="7"/>
        <v>0</v>
      </c>
      <c r="I56" s="823">
        <f>NNETPGestCES_Budgetpr</f>
        <v>0</v>
      </c>
      <c r="J56" s="823">
        <f>NNETPGestCES_Budgetre</f>
        <v>0</v>
      </c>
      <c r="K56" s="694"/>
    </row>
    <row r="57" spans="2:11" ht="12.75">
      <c r="B57" s="701"/>
      <c r="C57" s="704" t="s">
        <v>346</v>
      </c>
      <c r="D57" s="779">
        <f>NNETPGestASM_Budgetex_N1-NNETPTPGestASM_Budgetex_N1</f>
        <v>0</v>
      </c>
      <c r="E57" s="779">
        <f>NNAgTPGestASM_Budgetex_N1</f>
        <v>0</v>
      </c>
      <c r="F57" s="823">
        <f>NNETPTPGestASM_Budgetex_N1</f>
        <v>0</v>
      </c>
      <c r="G57" s="687">
        <f t="shared" si="6"/>
        <v>0</v>
      </c>
      <c r="H57" s="688">
        <f t="shared" si="7"/>
        <v>0</v>
      </c>
      <c r="I57" s="823">
        <f>NNETPGestASM_Budgetpr</f>
        <v>0</v>
      </c>
      <c r="J57" s="823">
        <f>NNETPGestASM_Budgetre</f>
        <v>0</v>
      </c>
      <c r="K57" s="694"/>
    </row>
    <row r="58" spans="2:11" ht="12.75">
      <c r="B58" s="701"/>
      <c r="C58" s="704" t="s">
        <v>347</v>
      </c>
      <c r="D58" s="779">
        <f>NNETPGestPAD_Budgetex_N1-NNETPTPGestPAD_Budgetex_N1</f>
        <v>0</v>
      </c>
      <c r="E58" s="779">
        <f>NNAgTPGestPAD_Budgetex_N1</f>
        <v>0</v>
      </c>
      <c r="F58" s="823">
        <f>NNETPTPGestPAD_Budgetex_N1</f>
        <v>0</v>
      </c>
      <c r="G58" s="687">
        <f t="shared" si="6"/>
        <v>0</v>
      </c>
      <c r="H58" s="688">
        <f t="shared" si="7"/>
        <v>0</v>
      </c>
      <c r="I58" s="823">
        <f>NNETPGestPAD_Budgetpr</f>
        <v>0</v>
      </c>
      <c r="J58" s="823">
        <f>NNETPGestPAD_Budgetre</f>
        <v>0</v>
      </c>
      <c r="K58" s="694"/>
    </row>
    <row r="59" spans="2:11" ht="12.75">
      <c r="B59" s="701"/>
      <c r="C59" s="704" t="s">
        <v>348</v>
      </c>
      <c r="D59" s="779">
        <f>NNETPGestTFL_Budgetex_N1-NNETPTPGestTFL_Budgetex_N1</f>
        <v>0</v>
      </c>
      <c r="E59" s="779">
        <f>NNAgTPGestTFL_Budgetex_N1</f>
        <v>0</v>
      </c>
      <c r="F59" s="823">
        <f>NNETPTPGestTFL_Budgetex_N1</f>
        <v>0</v>
      </c>
      <c r="G59" s="687">
        <f t="shared" si="6"/>
        <v>0</v>
      </c>
      <c r="H59" s="688">
        <f t="shared" si="7"/>
        <v>0</v>
      </c>
      <c r="I59" s="823">
        <f>NNETPGestTFL_Budgetpr</f>
        <v>0</v>
      </c>
      <c r="J59" s="823">
        <f>NNETPGestTFL_Budgetre</f>
        <v>0</v>
      </c>
      <c r="K59" s="694"/>
    </row>
    <row r="60" spans="2:11" ht="12.75">
      <c r="B60" s="701"/>
      <c r="C60" s="704" t="s">
        <v>349</v>
      </c>
      <c r="D60" s="779">
        <f>NNETPGestANS_Budgetex_N1-NNETPTPGestANS_Budgetex_N1</f>
        <v>0</v>
      </c>
      <c r="E60" s="779">
        <f>NNAgTPGestANS_Budgetex_N1</f>
        <v>0</v>
      </c>
      <c r="F60" s="823">
        <f>NNETPTPGestANS_Budgetex_N1</f>
        <v>0</v>
      </c>
      <c r="G60" s="687">
        <f t="shared" si="6"/>
        <v>0</v>
      </c>
      <c r="H60" s="688">
        <f t="shared" si="7"/>
        <v>0</v>
      </c>
      <c r="I60" s="823">
        <f>NNETPGestANS_Budgetpr</f>
        <v>0</v>
      </c>
      <c r="J60" s="823">
        <f>NNETPGestANS_Budgetre</f>
        <v>0</v>
      </c>
      <c r="K60" s="694"/>
    </row>
    <row r="61" spans="2:11" ht="12.75">
      <c r="B61" s="701"/>
      <c r="C61" s="704" t="s">
        <v>350</v>
      </c>
      <c r="D61" s="779">
        <f>NNETPGestAPE_Budgetex_N1-NNETPTPGestAPE_Budgetex_N1</f>
        <v>0</v>
      </c>
      <c r="E61" s="779">
        <f>NNAgTPGestAPE_Budgetex_N1</f>
        <v>0</v>
      </c>
      <c r="F61" s="823">
        <f>NNETPTPGestAPE_Budgetex_N1</f>
        <v>0</v>
      </c>
      <c r="G61" s="687">
        <f t="shared" si="6"/>
        <v>0</v>
      </c>
      <c r="H61" s="688">
        <f t="shared" si="7"/>
        <v>0</v>
      </c>
      <c r="I61" s="823">
        <f>NNETPGestAPE_Budgetpr</f>
        <v>0</v>
      </c>
      <c r="J61" s="823">
        <f>NNETPGestAPE_Budgetre</f>
        <v>0</v>
      </c>
      <c r="K61" s="694"/>
    </row>
    <row r="62" spans="2:11" ht="12.75">
      <c r="B62" s="701"/>
      <c r="C62" s="704" t="s">
        <v>351</v>
      </c>
      <c r="D62" s="779">
        <f>NNETPGestFES_Budgetex_N1-NNETPTPGestFES_Budgetex_N1</f>
        <v>0</v>
      </c>
      <c r="E62" s="779">
        <f>NNAgTPGestFES_Budgetex_N1</f>
        <v>0</v>
      </c>
      <c r="F62" s="823">
        <f>NNETPTPGestFES_Budgetex_N1</f>
        <v>0</v>
      </c>
      <c r="G62" s="687">
        <f t="shared" si="6"/>
        <v>0</v>
      </c>
      <c r="H62" s="688">
        <f t="shared" si="7"/>
        <v>0</v>
      </c>
      <c r="I62" s="823">
        <f>NNETPGestFES_Budgetpr</f>
        <v>0</v>
      </c>
      <c r="J62" s="823">
        <f>NNETPGestFES_Budgetre</f>
        <v>0</v>
      </c>
      <c r="K62" s="694"/>
    </row>
    <row r="63" spans="2:11" ht="12.75">
      <c r="B63" s="701"/>
      <c r="C63" s="704" t="s">
        <v>352</v>
      </c>
      <c r="D63" s="779">
        <f>NNETPGestFME_Budgetex_N1-NNETPTPGestFME_Budgetex_N1</f>
        <v>0</v>
      </c>
      <c r="E63" s="779">
        <f>NNAgTPGestFME_Budgetex_N1</f>
        <v>0</v>
      </c>
      <c r="F63" s="823">
        <f>NNETPTPGestFME_Budgetex_N1</f>
        <v>0</v>
      </c>
      <c r="G63" s="687">
        <f t="shared" si="6"/>
        <v>0</v>
      </c>
      <c r="H63" s="688">
        <f t="shared" si="7"/>
        <v>0</v>
      </c>
      <c r="I63" s="823">
        <f>NNETPGestFME_Budgetpr</f>
        <v>0</v>
      </c>
      <c r="J63" s="823">
        <f>NNETPGestFME_Budgetre</f>
        <v>0</v>
      </c>
      <c r="K63" s="694"/>
    </row>
    <row r="64" spans="2:11" ht="12.75">
      <c r="B64" s="701"/>
      <c r="C64" s="704" t="s">
        <v>353</v>
      </c>
      <c r="D64" s="779">
        <f>NNETPGestFAM_Budgetex_N1-NNETPTPGestFAM_Budgetex_N1</f>
        <v>0</v>
      </c>
      <c r="E64" s="779">
        <f>NNAgTPGestFAM_Budgetex_N1</f>
        <v>0</v>
      </c>
      <c r="F64" s="823">
        <f>NNETPTPGestFAM_Budgetex_N1</f>
        <v>0</v>
      </c>
      <c r="G64" s="687">
        <f t="shared" si="6"/>
        <v>0</v>
      </c>
      <c r="H64" s="688">
        <f t="shared" si="7"/>
        <v>0</v>
      </c>
      <c r="I64" s="823">
        <f>NNETPGestFAM_Budgetpr</f>
        <v>0</v>
      </c>
      <c r="J64" s="823">
        <f>NNETPGestFAM_Budgetre</f>
        <v>0</v>
      </c>
      <c r="K64" s="694"/>
    </row>
    <row r="65" spans="2:11" ht="12.75">
      <c r="B65" s="701"/>
      <c r="C65" s="704" t="s">
        <v>354</v>
      </c>
      <c r="D65" s="779">
        <f>NNETPGestEES_Budgetex_N1-NNETPTPGestEES_Budgetex_N1</f>
        <v>0</v>
      </c>
      <c r="E65" s="779">
        <f>NNAgTPGestEES_Budgetex_N1</f>
        <v>0</v>
      </c>
      <c r="F65" s="823">
        <f>NNETPTPGestEES_Budgetex_N1</f>
        <v>0</v>
      </c>
      <c r="G65" s="687">
        <f t="shared" si="6"/>
        <v>0</v>
      </c>
      <c r="H65" s="688">
        <f t="shared" si="7"/>
        <v>0</v>
      </c>
      <c r="I65" s="823">
        <f>NNETPGestEES_Budgetpr</f>
        <v>0</v>
      </c>
      <c r="J65" s="823">
        <f>NNETPGestEES_Budgetre</f>
        <v>0</v>
      </c>
      <c r="K65" s="694"/>
    </row>
    <row r="66" spans="2:11" ht="12.75">
      <c r="B66" s="701"/>
      <c r="C66" s="704" t="s">
        <v>355</v>
      </c>
      <c r="D66" s="779">
        <f>NNETPGestEME_Budgetex_N1-NNETPTPGestEME_Budgetex_N1</f>
        <v>0</v>
      </c>
      <c r="E66" s="779">
        <f>NNAgTPGestEME_Budgetex_N1</f>
        <v>0</v>
      </c>
      <c r="F66" s="823">
        <f>NNETPTPGestEME_Budgetex_N1</f>
        <v>0</v>
      </c>
      <c r="G66" s="687">
        <f t="shared" si="6"/>
        <v>0</v>
      </c>
      <c r="H66" s="688">
        <f t="shared" si="7"/>
        <v>0</v>
      </c>
      <c r="I66" s="823">
        <f>NNETPGestEME_Budgetpr</f>
        <v>0</v>
      </c>
      <c r="J66" s="823">
        <f>NNETPGestEME_Budgetre</f>
        <v>0</v>
      </c>
      <c r="K66" s="694"/>
    </row>
    <row r="67" spans="2:11" ht="12.75">
      <c r="B67" s="701"/>
      <c r="C67" s="704" t="s">
        <v>356</v>
      </c>
      <c r="D67" s="779">
        <f>NNETPGestEAM_Budgetex_N1-NNETPTPGestEAM_Budgetex_N1</f>
        <v>0</v>
      </c>
      <c r="E67" s="779">
        <f>NNAgTPGestEAM_Budgetex_N1</f>
        <v>0</v>
      </c>
      <c r="F67" s="823">
        <f>NNETPTPGestEAM_Budgetex_N1</f>
        <v>0</v>
      </c>
      <c r="G67" s="687">
        <f t="shared" si="6"/>
        <v>0</v>
      </c>
      <c r="H67" s="688">
        <f t="shared" si="7"/>
        <v>0</v>
      </c>
      <c r="I67" s="823">
        <f>NNETPGestEAM_Budgetpr</f>
        <v>0</v>
      </c>
      <c r="J67" s="823">
        <f>NNETPGestEAM_Budgetre</f>
        <v>0</v>
      </c>
      <c r="K67" s="694"/>
    </row>
    <row r="68" spans="2:11" ht="12.75">
      <c r="B68" s="701"/>
      <c r="C68" s="703" t="s">
        <v>357</v>
      </c>
      <c r="D68" s="708">
        <f aca="true" t="shared" si="8" ref="D68:J68">SUM(D69:D73)</f>
        <v>0</v>
      </c>
      <c r="E68" s="708">
        <f t="shared" si="8"/>
        <v>0</v>
      </c>
      <c r="F68" s="709">
        <f t="shared" si="8"/>
        <v>0</v>
      </c>
      <c r="G68" s="708">
        <f t="shared" si="8"/>
        <v>0</v>
      </c>
      <c r="H68" s="691">
        <f t="shared" si="8"/>
        <v>0</v>
      </c>
      <c r="I68" s="710">
        <f t="shared" si="8"/>
        <v>0</v>
      </c>
      <c r="J68" s="710">
        <f t="shared" si="8"/>
        <v>0</v>
      </c>
      <c r="K68" s="694"/>
    </row>
    <row r="69" spans="2:11" ht="12.75">
      <c r="B69" s="701"/>
      <c r="C69" s="704" t="s">
        <v>358</v>
      </c>
      <c r="D69" s="779">
        <f>NNETPGestPYC_Budgetex_N1-NNETPTPGestPYC_Budgetex_N1</f>
        <v>0</v>
      </c>
      <c r="E69" s="779">
        <f>NNAgTPGestPYC_Budgetex_N1</f>
        <v>0</v>
      </c>
      <c r="F69" s="823">
        <f>NNETPTPGestPYC_Budgetex_N1</f>
        <v>0</v>
      </c>
      <c r="G69" s="687">
        <f>D69+E69</f>
        <v>0</v>
      </c>
      <c r="H69" s="688">
        <f>D69+F69</f>
        <v>0</v>
      </c>
      <c r="I69" s="823">
        <f>NNETPGestPYC_Budgetpr</f>
        <v>0</v>
      </c>
      <c r="J69" s="823">
        <f>NNETPGestPYC_Budgetre</f>
        <v>0</v>
      </c>
      <c r="K69" s="694"/>
    </row>
    <row r="70" spans="2:11" ht="12.75">
      <c r="B70" s="701"/>
      <c r="C70" s="704" t="s">
        <v>359</v>
      </c>
      <c r="D70" s="779">
        <f>NNETPGestPED_Budgetex_N1-NNETPTPGestPED_Budgetex_N1</f>
        <v>0</v>
      </c>
      <c r="E70" s="779">
        <f>NNAgTPGestPED_Budgetex_N1</f>
        <v>0</v>
      </c>
      <c r="F70" s="823">
        <f>NNETPTPGestPED_Budgetex_N1</f>
        <v>0</v>
      </c>
      <c r="G70" s="687">
        <f>D70+E70</f>
        <v>0</v>
      </c>
      <c r="H70" s="688">
        <f>D70+F70</f>
        <v>0</v>
      </c>
      <c r="I70" s="823">
        <f>NNETPGestPED_Budgetpr</f>
        <v>0</v>
      </c>
      <c r="J70" s="823">
        <f>NNETPGestPED_Budgetre</f>
        <v>0</v>
      </c>
      <c r="K70" s="694"/>
    </row>
    <row r="71" spans="2:11" ht="12.75">
      <c r="B71" s="701"/>
      <c r="C71" s="704" t="s">
        <v>360</v>
      </c>
      <c r="D71" s="779">
        <f>NNETPGestMRF_Budgetex_N1-NNETPTPGestMRF_Budgetex_N1</f>
        <v>0</v>
      </c>
      <c r="E71" s="779">
        <f>NNAgTPGestMRF_Budgetex_N1</f>
        <v>0</v>
      </c>
      <c r="F71" s="823">
        <f>NNETPTPGestMRF_Budgetex_N1</f>
        <v>0</v>
      </c>
      <c r="G71" s="687">
        <f>D71+E71</f>
        <v>0</v>
      </c>
      <c r="H71" s="688">
        <f>D71+F71</f>
        <v>0</v>
      </c>
      <c r="I71" s="823">
        <f>NNETPGestMRF_Budgetpr</f>
        <v>0</v>
      </c>
      <c r="J71" s="823">
        <f>NNETPGestMRF_Budgetre</f>
        <v>0</v>
      </c>
      <c r="K71" s="694"/>
    </row>
    <row r="72" spans="2:11" ht="12.75">
      <c r="B72" s="701"/>
      <c r="C72" s="704" t="s">
        <v>361</v>
      </c>
      <c r="D72" s="779">
        <f>NNETPGestASL_Budgetex_N1-NNETPTPGestASL_Budgetex_N1</f>
        <v>0</v>
      </c>
      <c r="E72" s="779">
        <f>NNAgTPGestASL_Budgetex_N1</f>
        <v>0</v>
      </c>
      <c r="F72" s="823">
        <f>NNETPTPGestASL_Budgetex_N1</f>
        <v>0</v>
      </c>
      <c r="G72" s="687">
        <f>D72+E72</f>
        <v>0</v>
      </c>
      <c r="H72" s="688">
        <f>D72+F72</f>
        <v>0</v>
      </c>
      <c r="I72" s="823">
        <f>NNETPGestASL_Budgetpr</f>
        <v>0</v>
      </c>
      <c r="J72" s="823">
        <f>NNETPGestASL_Budgetre</f>
        <v>0</v>
      </c>
      <c r="K72" s="694"/>
    </row>
    <row r="73" spans="2:11" ht="12.75">
      <c r="B73" s="701"/>
      <c r="C73" s="704" t="s">
        <v>362</v>
      </c>
      <c r="D73" s="779">
        <f>NNETPGestMGE_Budgetex_N1-NNETPTPGestMGE_Budgetex_N1</f>
        <v>0</v>
      </c>
      <c r="E73" s="779">
        <f>NNAgTPGestMGE_Budgetex_N1</f>
        <v>0</v>
      </c>
      <c r="F73" s="823">
        <f>NNETPTPGestMGE_Budgetex_N1</f>
        <v>0</v>
      </c>
      <c r="G73" s="687">
        <f>D73+E73</f>
        <v>0</v>
      </c>
      <c r="H73" s="688">
        <f>D73+F73</f>
        <v>0</v>
      </c>
      <c r="I73" s="823">
        <f>NNETPGestMGE_Budgetpr</f>
        <v>0</v>
      </c>
      <c r="J73" s="823">
        <f>NNETPGestMGE_Budgetre</f>
        <v>0</v>
      </c>
      <c r="K73" s="694"/>
    </row>
    <row r="74" spans="2:11" ht="12.75">
      <c r="B74" s="701"/>
      <c r="C74" s="703" t="s">
        <v>363</v>
      </c>
      <c r="D74" s="708">
        <f aca="true" t="shared" si="9" ref="D74:J74">SUM(D75:D86)</f>
        <v>0</v>
      </c>
      <c r="E74" s="708">
        <f t="shared" si="9"/>
        <v>0</v>
      </c>
      <c r="F74" s="709">
        <f t="shared" si="9"/>
        <v>0</v>
      </c>
      <c r="G74" s="708">
        <f t="shared" si="9"/>
        <v>0</v>
      </c>
      <c r="H74" s="691">
        <f t="shared" si="9"/>
        <v>0</v>
      </c>
      <c r="I74" s="710">
        <f t="shared" si="9"/>
        <v>0</v>
      </c>
      <c r="J74" s="710">
        <f t="shared" si="9"/>
        <v>0</v>
      </c>
      <c r="K74" s="694"/>
    </row>
    <row r="75" spans="2:11" ht="12.75">
      <c r="B75" s="701"/>
      <c r="C75" s="704" t="s">
        <v>364</v>
      </c>
      <c r="D75" s="779">
        <f>NNETPGestPSY_Budgetex_N1-NNETPTPGestPSY_Budgetex_N1</f>
        <v>0</v>
      </c>
      <c r="E75" s="779">
        <f>NNAgTPGestPSY_Budgetex_N1</f>
        <v>0</v>
      </c>
      <c r="F75" s="823">
        <f>NNETPTPGestPSY_Budgetex_N1</f>
        <v>0</v>
      </c>
      <c r="G75" s="687">
        <f aca="true" t="shared" si="10" ref="G75:G86">D75+E75</f>
        <v>0</v>
      </c>
      <c r="H75" s="688">
        <f aca="true" t="shared" si="11" ref="H75:H86">D75+F75</f>
        <v>0</v>
      </c>
      <c r="I75" s="823">
        <f>NNETPGestPSY_Budgetpr</f>
        <v>0</v>
      </c>
      <c r="J75" s="823">
        <f>NNETPGestPSY_Budgetre</f>
        <v>0</v>
      </c>
      <c r="K75" s="694"/>
    </row>
    <row r="76" spans="2:11" ht="12.75">
      <c r="B76" s="701"/>
      <c r="C76" s="704" t="s">
        <v>365</v>
      </c>
      <c r="D76" s="779">
        <f>NNETPGestIDE_Budgetex_N1-NNETPTPGestIDE_Budgetex_N1</f>
        <v>0</v>
      </c>
      <c r="E76" s="779">
        <f>NNAgTPGestIDE_Budgetex_N1</f>
        <v>0</v>
      </c>
      <c r="F76" s="823">
        <f>NNETPTPGestIDE_Budgetex_N1</f>
        <v>0</v>
      </c>
      <c r="G76" s="687">
        <f t="shared" si="10"/>
        <v>0</v>
      </c>
      <c r="H76" s="688">
        <f t="shared" si="11"/>
        <v>0</v>
      </c>
      <c r="I76" s="823">
        <f>NNETPGestIDE_Budgetpr</f>
        <v>0</v>
      </c>
      <c r="J76" s="823">
        <f>NNETPGestIDE_Budgetre</f>
        <v>0</v>
      </c>
      <c r="K76" s="694"/>
    </row>
    <row r="77" spans="2:11" ht="12.75">
      <c r="B77" s="701"/>
      <c r="C77" s="704" t="s">
        <v>366</v>
      </c>
      <c r="D77" s="779">
        <f>NNETPGestIPY_Budgetex_N1-NNETPTPGestIPY_Budgetex_N1</f>
        <v>0</v>
      </c>
      <c r="E77" s="779">
        <f>NNAgTPGestIPY_Budgetex_N1</f>
        <v>0</v>
      </c>
      <c r="F77" s="823">
        <f>NNETPTPGestIPY_Budgetex_N1</f>
        <v>0</v>
      </c>
      <c r="G77" s="687">
        <f t="shared" si="10"/>
        <v>0</v>
      </c>
      <c r="H77" s="688">
        <f t="shared" si="11"/>
        <v>0</v>
      </c>
      <c r="I77" s="823">
        <f>NNETPGestIPY_Budgetpr</f>
        <v>0</v>
      </c>
      <c r="J77" s="823">
        <f>NNETPGestIPY_Budgetre</f>
        <v>0</v>
      </c>
      <c r="K77" s="694"/>
    </row>
    <row r="78" spans="2:11" ht="12.75">
      <c r="B78" s="701"/>
      <c r="C78" s="704" t="s">
        <v>367</v>
      </c>
      <c r="D78" s="779">
        <f>NNETPGestMKI_Budgetex_N1-NNETPTPGestMKI_Budgetex_N1</f>
        <v>0</v>
      </c>
      <c r="E78" s="779">
        <f>NNAgTPGestMKI_Budgetex_N1</f>
        <v>0</v>
      </c>
      <c r="F78" s="823">
        <f>NNETPTPGestMKI_Budgetex_N1</f>
        <v>0</v>
      </c>
      <c r="G78" s="687">
        <f t="shared" si="10"/>
        <v>0</v>
      </c>
      <c r="H78" s="688">
        <f t="shared" si="11"/>
        <v>0</v>
      </c>
      <c r="I78" s="823">
        <f>NNETPGestMKI_Budgetpr</f>
        <v>0</v>
      </c>
      <c r="J78" s="823">
        <f>NNETPGestMKI_Budgetre</f>
        <v>0</v>
      </c>
      <c r="K78" s="694"/>
    </row>
    <row r="79" spans="2:11" ht="12.75">
      <c r="B79" s="701"/>
      <c r="C79" s="704" t="s">
        <v>368</v>
      </c>
      <c r="D79" s="779">
        <f>NNETPGestERG_Budgetex_N1-NNETPTPGestERG_Budgetex_N1</f>
        <v>0</v>
      </c>
      <c r="E79" s="779">
        <f>NNAgTPGestERG_Budgetex_N1</f>
        <v>0</v>
      </c>
      <c r="F79" s="823">
        <f>NNETPTPGestERG_Budgetex_N1</f>
        <v>0</v>
      </c>
      <c r="G79" s="687">
        <f t="shared" si="10"/>
        <v>0</v>
      </c>
      <c r="H79" s="688">
        <f t="shared" si="11"/>
        <v>0</v>
      </c>
      <c r="I79" s="823">
        <f>NNETPGestERG_Budgetpr</f>
        <v>0</v>
      </c>
      <c r="J79" s="823">
        <f>NNETPGestERG_Budgetre</f>
        <v>0</v>
      </c>
      <c r="K79" s="694"/>
    </row>
    <row r="80" spans="2:11" ht="12.75">
      <c r="B80" s="701"/>
      <c r="C80" s="704" t="s">
        <v>369</v>
      </c>
      <c r="D80" s="779">
        <f>NNETPGestORP_Budgetex_N1-NNETPTPGestORP_Budgetex_N1</f>
        <v>0</v>
      </c>
      <c r="E80" s="779">
        <f>NNAgTPGestORP_Budgetex_N1</f>
        <v>0</v>
      </c>
      <c r="F80" s="823">
        <f>NNETPTPGestORP_Budgetex_N1</f>
        <v>0</v>
      </c>
      <c r="G80" s="687">
        <f t="shared" si="10"/>
        <v>0</v>
      </c>
      <c r="H80" s="688">
        <f t="shared" si="11"/>
        <v>0</v>
      </c>
      <c r="I80" s="823">
        <f>NNETPGestORP_Budgetpr</f>
        <v>0</v>
      </c>
      <c r="J80" s="823">
        <f>NNETPGestORP_Budgetre</f>
        <v>0</v>
      </c>
      <c r="K80" s="694"/>
    </row>
    <row r="81" spans="2:11" ht="12.75">
      <c r="B81" s="701"/>
      <c r="C81" s="704" t="s">
        <v>370</v>
      </c>
      <c r="D81" s="779">
        <f>NNETPGestORT_Budgetex_N1-NNETPTPGestORT_Budgetex_N1</f>
        <v>0</v>
      </c>
      <c r="E81" s="779">
        <f>NNAgTPGestORT_Budgetex_N1</f>
        <v>0</v>
      </c>
      <c r="F81" s="823">
        <f>NNETPTPGestORT_Budgetex_N1</f>
        <v>0</v>
      </c>
      <c r="G81" s="687">
        <f t="shared" si="10"/>
        <v>0</v>
      </c>
      <c r="H81" s="688">
        <f t="shared" si="11"/>
        <v>0</v>
      </c>
      <c r="I81" s="823">
        <f>NNETPGestORT_Budgetpr</f>
        <v>0</v>
      </c>
      <c r="J81" s="823">
        <f>NNETPGestORT_Budgetre</f>
        <v>0</v>
      </c>
      <c r="K81" s="694"/>
    </row>
    <row r="82" spans="2:11" ht="12.75">
      <c r="B82" s="701"/>
      <c r="C82" s="704" t="s">
        <v>371</v>
      </c>
      <c r="D82" s="779">
        <f>NNETPGestPCM_Budgetex_N1-NNETPTPGestPCM_Budgetex_N1</f>
        <v>0</v>
      </c>
      <c r="E82" s="779">
        <f>NNAgTPGestPCM_Budgetex_N1</f>
        <v>0</v>
      </c>
      <c r="F82" s="823">
        <f>NNETPTPGestPCM_Budgetex_N1</f>
        <v>0</v>
      </c>
      <c r="G82" s="687">
        <f t="shared" si="10"/>
        <v>0</v>
      </c>
      <c r="H82" s="688">
        <f t="shared" si="11"/>
        <v>0</v>
      </c>
      <c r="I82" s="823">
        <f>NNETPGestPCM_Budgetpr</f>
        <v>0</v>
      </c>
      <c r="J82" s="823">
        <f>NNETPGestPCM_Budgetre</f>
        <v>0</v>
      </c>
      <c r="K82" s="694"/>
    </row>
    <row r="83" spans="2:11" ht="12.75">
      <c r="B83" s="701"/>
      <c r="C83" s="704" t="s">
        <v>372</v>
      </c>
      <c r="D83" s="779">
        <f>NNETPGestAUP_Budgetex_N1-NNETPTPGestAUP_Budgetex_N1</f>
        <v>0</v>
      </c>
      <c r="E83" s="779">
        <f>NNAgTPGestAUP_Budgetex_N1</f>
        <v>0</v>
      </c>
      <c r="F83" s="823">
        <f>NNETPTPGestAUP_Budgetex_N1</f>
        <v>0</v>
      </c>
      <c r="G83" s="687">
        <f t="shared" si="10"/>
        <v>0</v>
      </c>
      <c r="H83" s="688">
        <f t="shared" si="11"/>
        <v>0</v>
      </c>
      <c r="I83" s="823">
        <f>NNETPGestAUP_Budgetpr</f>
        <v>0</v>
      </c>
      <c r="J83" s="823">
        <f>NNETPGestAUP_Budgetre</f>
        <v>0</v>
      </c>
      <c r="K83" s="694"/>
    </row>
    <row r="84" spans="2:11" ht="12.75">
      <c r="B84" s="701"/>
      <c r="C84" s="704" t="s">
        <v>373</v>
      </c>
      <c r="D84" s="779">
        <f>NNETPGestAPD_Budgetex_N1-NNETPTPGestAPD_Budgetex_N1</f>
        <v>0</v>
      </c>
      <c r="E84" s="779">
        <f>NNAgTPGestAPD_Budgetex_N1</f>
        <v>0</v>
      </c>
      <c r="F84" s="823">
        <f>NNETPTPGestAPD_Budgetex_N1</f>
        <v>0</v>
      </c>
      <c r="G84" s="687">
        <f t="shared" si="10"/>
        <v>0</v>
      </c>
      <c r="H84" s="688">
        <f t="shared" si="11"/>
        <v>0</v>
      </c>
      <c r="I84" s="823">
        <f>NNETPGestAPD_Budgetpr</f>
        <v>0</v>
      </c>
      <c r="J84" s="823">
        <f>NNETPGestAPD_Budgetre</f>
        <v>0</v>
      </c>
      <c r="K84" s="694"/>
    </row>
    <row r="85" spans="2:11" ht="12.75">
      <c r="B85" s="701"/>
      <c r="C85" s="704" t="s">
        <v>374</v>
      </c>
      <c r="D85" s="779">
        <f>NNETPGestPUE_Budgetex_N1-NNETPTPGestPUE_Budgetex_N1</f>
        <v>0</v>
      </c>
      <c r="E85" s="779">
        <f>NNAgTPGestPUE_Budgetex_N1</f>
        <v>0</v>
      </c>
      <c r="F85" s="823">
        <f>NNETPTPGestPUE_Budgetex_N1</f>
        <v>0</v>
      </c>
      <c r="G85" s="687">
        <f t="shared" si="10"/>
        <v>0</v>
      </c>
      <c r="H85" s="688">
        <f t="shared" si="11"/>
        <v>0</v>
      </c>
      <c r="I85" s="823">
        <f>NNETPGestPUE_Budgetpr</f>
        <v>0</v>
      </c>
      <c r="J85" s="823">
        <f>NNETPGestPUE_Budgetre</f>
        <v>0</v>
      </c>
      <c r="K85" s="694"/>
    </row>
    <row r="86" spans="2:11" ht="12.75">
      <c r="B86" s="701"/>
      <c r="C86" s="704" t="s">
        <v>375</v>
      </c>
      <c r="D86" s="779">
        <f>NNETPGestASP_Budgetex_N1-NNETPTPGestASP_Budgetex_N1</f>
        <v>0</v>
      </c>
      <c r="E86" s="779">
        <f>NNAgTPGestASP_Budgetex_N1</f>
        <v>0</v>
      </c>
      <c r="F86" s="823">
        <f>NNETPTPGestASP_Budgetex_N1</f>
        <v>0</v>
      </c>
      <c r="G86" s="687">
        <f t="shared" si="10"/>
        <v>0</v>
      </c>
      <c r="H86" s="688">
        <f t="shared" si="11"/>
        <v>0</v>
      </c>
      <c r="I86" s="823">
        <f>NNETPGestASP_Budgetpr</f>
        <v>0</v>
      </c>
      <c r="J86" s="823">
        <f>NNETPGestASP_Budgetre</f>
        <v>0</v>
      </c>
      <c r="K86" s="694"/>
    </row>
    <row r="87" spans="2:11" ht="12.75">
      <c r="B87" s="701"/>
      <c r="C87" s="703" t="s">
        <v>60</v>
      </c>
      <c r="D87" s="708">
        <f>D8+D25+D28+D33+D34+D68+D74</f>
        <v>0</v>
      </c>
      <c r="E87" s="708">
        <f aca="true" t="shared" si="12" ref="E87:J87">E8+E25+E28+E33+E34+E68+E74</f>
        <v>0</v>
      </c>
      <c r="F87" s="709">
        <f t="shared" si="12"/>
        <v>0</v>
      </c>
      <c r="G87" s="708">
        <f t="shared" si="12"/>
        <v>0</v>
      </c>
      <c r="H87" s="691">
        <f t="shared" si="12"/>
        <v>0</v>
      </c>
      <c r="I87" s="710">
        <f>I8+I25+I28+I33+I34+I68+I74</f>
        <v>0</v>
      </c>
      <c r="J87" s="710">
        <f t="shared" si="12"/>
        <v>0</v>
      </c>
      <c r="K87" s="694"/>
    </row>
    <row r="88" spans="2:11" ht="13.5" thickBot="1">
      <c r="B88" s="702"/>
      <c r="C88" s="705"/>
      <c r="D88" s="705"/>
      <c r="E88" s="705"/>
      <c r="F88" s="705"/>
      <c r="G88" s="705"/>
      <c r="H88" s="707"/>
      <c r="I88" s="707"/>
      <c r="J88" s="705"/>
      <c r="K88" s="706"/>
    </row>
  </sheetData>
  <sheetProtection password="B34F" sheet="1"/>
  <mergeCells count="8">
    <mergeCell ref="D5:D6"/>
    <mergeCell ref="E5:F5"/>
    <mergeCell ref="G5:H5"/>
    <mergeCell ref="J5:J6"/>
    <mergeCell ref="I5:I6"/>
    <mergeCell ref="B2:K2"/>
    <mergeCell ref="C5:C6"/>
    <mergeCell ref="D4:H4"/>
  </mergeCells>
  <conditionalFormatting sqref="D9:F24 I9:J24 I26:J27 D26:F27 D29:F33 I29:J33 D35:F67 I35:J67 D69:F73 I69:J73 D75:F86 I75:J86">
    <cfRule type="expression" priority="2" dxfId="1" stopIfTrue="1">
      <formula>D9=0</formula>
    </cfRule>
  </conditionalFormatting>
  <conditionalFormatting sqref="G9:H24 G26:H27 G29:H32 G35:H67 G69:H73 G75:H86">
    <cfRule type="expression" priority="1" dxfId="0" stopIfTrue="1">
      <formula>G9=0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A12"/>
  <sheetViews>
    <sheetView showZero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02.57421875" style="0" customWidth="1"/>
  </cols>
  <sheetData>
    <row r="1" ht="25.5" customHeight="1">
      <c r="A1" s="637" t="s">
        <v>227</v>
      </c>
    </row>
    <row r="2" ht="40.5" customHeight="1">
      <c r="A2" s="656"/>
    </row>
    <row r="3" ht="40.5" customHeight="1">
      <c r="A3" s="657"/>
    </row>
    <row r="4" ht="40.5" customHeight="1">
      <c r="A4" s="657"/>
    </row>
    <row r="5" ht="40.5" customHeight="1">
      <c r="A5" s="657"/>
    </row>
    <row r="6" ht="40.5" customHeight="1">
      <c r="A6" s="657"/>
    </row>
    <row r="7" ht="40.5" customHeight="1">
      <c r="A7" s="657"/>
    </row>
    <row r="8" ht="40.5" customHeight="1">
      <c r="A8" s="657"/>
    </row>
    <row r="9" ht="40.5" customHeight="1">
      <c r="A9" s="657"/>
    </row>
    <row r="10" ht="40.5" customHeight="1">
      <c r="A10" s="657"/>
    </row>
    <row r="11" ht="40.5" customHeight="1">
      <c r="A11" s="657"/>
    </row>
    <row r="12" ht="40.5" customHeight="1">
      <c r="A12" s="6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0"/>
  <sheetViews>
    <sheetView showZeros="0" zoomScalePageLayoutView="0" workbookViewId="0" topLeftCell="A1">
      <selection activeCell="C4" sqref="C4"/>
    </sheetView>
  </sheetViews>
  <sheetFormatPr defaultColWidth="11.421875" defaultRowHeight="12.75"/>
  <cols>
    <col min="1" max="1" width="43.57421875" style="0" customWidth="1"/>
    <col min="2" max="2" width="39.8515625" style="0" customWidth="1"/>
    <col min="3" max="3" width="27.7109375" style="0" customWidth="1"/>
    <col min="4" max="4" width="8.57421875" style="0" bestFit="1" customWidth="1"/>
    <col min="6" max="6" width="15.00390625" style="0" customWidth="1"/>
    <col min="8" max="8" width="16.140625" style="0" customWidth="1"/>
    <col min="9" max="9" width="30.57421875" style="0" customWidth="1"/>
  </cols>
  <sheetData>
    <row r="1" spans="1:10" ht="19.5">
      <c r="A1" s="793" t="s">
        <v>379</v>
      </c>
      <c r="B1" s="830" t="s">
        <v>37</v>
      </c>
      <c r="C1" s="830"/>
      <c r="D1" s="830"/>
      <c r="E1" s="830"/>
      <c r="F1" s="830"/>
      <c r="G1" s="830"/>
      <c r="H1" s="830"/>
      <c r="I1" s="831"/>
      <c r="J1" s="784"/>
    </row>
    <row r="2" spans="1:10" ht="20.25" thickBot="1">
      <c r="A2" s="794"/>
      <c r="B2" s="832" t="s">
        <v>38</v>
      </c>
      <c r="C2" s="832"/>
      <c r="D2" s="832"/>
      <c r="E2" s="832"/>
      <c r="F2" s="832"/>
      <c r="G2" s="832"/>
      <c r="H2" s="832"/>
      <c r="I2" s="833"/>
      <c r="J2" s="784"/>
    </row>
    <row r="3" spans="1:9" ht="12.75" customHeight="1">
      <c r="A3" s="3"/>
      <c r="B3" s="4"/>
      <c r="C3" s="785"/>
      <c r="D3" s="785"/>
      <c r="E3" s="785"/>
      <c r="F3" s="785"/>
      <c r="G3" s="785"/>
      <c r="H3" s="785"/>
      <c r="I3" s="786"/>
    </row>
    <row r="4" spans="1:9" ht="15">
      <c r="A4" s="5" t="s">
        <v>39</v>
      </c>
      <c r="B4" s="4"/>
      <c r="C4" s="787" t="str">
        <f>Etab_Nom</f>
        <v> </v>
      </c>
      <c r="D4" s="826" t="str">
        <f>Sect_NomSection</f>
        <v> </v>
      </c>
      <c r="E4" s="834"/>
      <c r="F4" s="787"/>
      <c r="G4" s="787"/>
      <c r="H4" s="787"/>
      <c r="I4" s="788"/>
    </row>
    <row r="5" spans="1:9" ht="15">
      <c r="A5" s="5"/>
      <c r="B5" s="4"/>
      <c r="C5" s="301"/>
      <c r="D5" s="301"/>
      <c r="E5" s="301"/>
      <c r="F5" s="301"/>
      <c r="G5" s="301"/>
      <c r="H5" s="301"/>
      <c r="I5" s="302"/>
    </row>
    <row r="6" spans="1:9" ht="15">
      <c r="A6" s="5" t="s">
        <v>40</v>
      </c>
      <c r="B6" s="4"/>
      <c r="C6" s="826" t="str">
        <f>Etab_Adresse1</f>
        <v> </v>
      </c>
      <c r="D6" s="827"/>
      <c r="E6" s="827"/>
      <c r="F6" s="827"/>
      <c r="G6" s="787"/>
      <c r="H6" s="787"/>
      <c r="I6" s="788"/>
    </row>
    <row r="7" spans="1:9" ht="15">
      <c r="A7" s="5"/>
      <c r="B7" s="4"/>
      <c r="C7" s="826" t="str">
        <f>Etab_Adresse2</f>
        <v> </v>
      </c>
      <c r="D7" s="827"/>
      <c r="E7" s="827"/>
      <c r="F7" s="827"/>
      <c r="G7" s="787"/>
      <c r="H7" s="787"/>
      <c r="I7" s="788"/>
    </row>
    <row r="8" spans="1:9" ht="15">
      <c r="A8" s="5"/>
      <c r="B8" s="4"/>
      <c r="C8" s="789">
        <f>Etab_CodePostal</f>
        <v>0</v>
      </c>
      <c r="D8" s="835" t="str">
        <f>Etab_Commune</f>
        <v> </v>
      </c>
      <c r="E8" s="834"/>
      <c r="F8" s="542"/>
      <c r="G8" s="787"/>
      <c r="H8" s="787"/>
      <c r="I8" s="788"/>
    </row>
    <row r="9" spans="1:9" ht="15">
      <c r="A9" s="5"/>
      <c r="B9" s="4"/>
      <c r="C9" s="4"/>
      <c r="D9" s="301"/>
      <c r="E9" s="301"/>
      <c r="F9" s="301"/>
      <c r="G9" s="301"/>
      <c r="H9" s="301"/>
      <c r="I9" s="302"/>
    </row>
    <row r="10" spans="1:9" ht="15">
      <c r="A10" s="5" t="s">
        <v>41</v>
      </c>
      <c r="B10" s="4"/>
      <c r="C10" s="822" t="str">
        <f>org_OGRaisonSociale</f>
        <v> </v>
      </c>
      <c r="D10" s="787"/>
      <c r="E10" s="787"/>
      <c r="F10" s="787"/>
      <c r="G10" s="787"/>
      <c r="H10" s="787"/>
      <c r="I10" s="788"/>
    </row>
    <row r="11" spans="1:9" ht="15">
      <c r="A11" s="5"/>
      <c r="B11" s="4"/>
      <c r="C11" s="301"/>
      <c r="D11" s="301"/>
      <c r="E11" s="301"/>
      <c r="F11" s="301"/>
      <c r="G11" s="301"/>
      <c r="H11" s="301"/>
      <c r="I11" s="302"/>
    </row>
    <row r="12" spans="1:9" ht="15">
      <c r="A12" s="5" t="s">
        <v>42</v>
      </c>
      <c r="B12" s="4"/>
      <c r="C12" s="543">
        <f>Etab_Tel1</f>
        <v>0</v>
      </c>
      <c r="D12" s="791"/>
      <c r="E12" s="303" t="s">
        <v>43</v>
      </c>
      <c r="F12" s="790">
        <f>Etab_Fax</f>
        <v>0</v>
      </c>
      <c r="G12" s="304" t="s">
        <v>44</v>
      </c>
      <c r="H12" s="835" t="str">
        <f>Etab_Email</f>
        <v> </v>
      </c>
      <c r="I12" s="839"/>
    </row>
    <row r="13" spans="1:9" ht="15">
      <c r="A13" s="5"/>
      <c r="B13" s="4"/>
      <c r="C13" s="4"/>
      <c r="D13" s="301"/>
      <c r="E13" s="301"/>
      <c r="F13" s="301"/>
      <c r="G13" s="301"/>
      <c r="H13" s="301"/>
      <c r="I13" s="302"/>
    </row>
    <row r="14" spans="1:9" ht="15">
      <c r="A14" s="5" t="s">
        <v>2</v>
      </c>
      <c r="B14" s="4"/>
      <c r="C14" s="544" t="str">
        <f>Etab_GenreDirecteur</f>
        <v> </v>
      </c>
      <c r="D14" s="836" t="str">
        <f>Etab_Directeur</f>
        <v> </v>
      </c>
      <c r="E14" s="836"/>
      <c r="F14" s="836"/>
      <c r="G14" s="836"/>
      <c r="H14" s="301"/>
      <c r="I14" s="302"/>
    </row>
    <row r="15" spans="1:9" ht="15">
      <c r="A15" s="5"/>
      <c r="B15" s="4"/>
      <c r="C15" s="301"/>
      <c r="D15" s="301"/>
      <c r="E15" s="301"/>
      <c r="F15" s="301"/>
      <c r="G15" s="301"/>
      <c r="H15" s="301"/>
      <c r="I15" s="302"/>
    </row>
    <row r="16" spans="1:9" ht="15">
      <c r="A16" s="5" t="s">
        <v>45</v>
      </c>
      <c r="B16" s="4"/>
      <c r="C16" s="543">
        <f>Etab_Nfiness</f>
        <v>0</v>
      </c>
      <c r="D16" s="791"/>
      <c r="E16" s="301"/>
      <c r="F16" s="301"/>
      <c r="G16" s="301"/>
      <c r="H16" s="301"/>
      <c r="I16" s="302"/>
    </row>
    <row r="17" spans="1:9" ht="15">
      <c r="A17" s="5"/>
      <c r="B17" s="4"/>
      <c r="C17" s="301"/>
      <c r="D17" s="301"/>
      <c r="E17" s="301"/>
      <c r="F17" s="301"/>
      <c r="G17" s="301"/>
      <c r="H17" s="301"/>
      <c r="I17" s="302"/>
    </row>
    <row r="18" spans="1:9" ht="15">
      <c r="A18" s="5" t="s">
        <v>46</v>
      </c>
      <c r="B18" s="4"/>
      <c r="C18" s="837" t="str">
        <f>Etab_Categorieétablissement</f>
        <v> </v>
      </c>
      <c r="D18" s="837"/>
      <c r="E18" s="837"/>
      <c r="F18" s="837"/>
      <c r="G18" s="837"/>
      <c r="H18" s="837"/>
      <c r="I18" s="838"/>
    </row>
    <row r="19" spans="1:9" ht="15">
      <c r="A19" s="5"/>
      <c r="B19" s="4"/>
      <c r="C19" s="301"/>
      <c r="D19" s="301"/>
      <c r="E19" s="301"/>
      <c r="F19" s="301"/>
      <c r="G19" s="301"/>
      <c r="H19" s="301"/>
      <c r="I19" s="302"/>
    </row>
    <row r="20" spans="1:9" ht="15">
      <c r="A20" s="5" t="s">
        <v>47</v>
      </c>
      <c r="B20" s="4"/>
      <c r="C20" s="790"/>
      <c r="D20" s="790"/>
      <c r="E20" s="790"/>
      <c r="F20" s="790"/>
      <c r="G20" s="790"/>
      <c r="H20" s="790"/>
      <c r="I20" s="792"/>
    </row>
    <row r="21" spans="1:9" ht="15">
      <c r="A21" s="5"/>
      <c r="B21" s="4"/>
      <c r="C21" s="608"/>
      <c r="D21" s="301"/>
      <c r="E21" s="301"/>
      <c r="F21" s="301"/>
      <c r="G21" s="301"/>
      <c r="H21" s="301"/>
      <c r="I21" s="302"/>
    </row>
    <row r="22" spans="1:9" ht="15">
      <c r="A22" s="5" t="s">
        <v>1</v>
      </c>
      <c r="B22" s="4"/>
      <c r="C22" s="541">
        <f>Etab_Conventioncollective</f>
        <v>0</v>
      </c>
      <c r="D22" s="301"/>
      <c r="E22" s="301"/>
      <c r="F22" s="301"/>
      <c r="G22" s="301"/>
      <c r="H22" s="301"/>
      <c r="I22" s="302"/>
    </row>
    <row r="23" spans="1:9" ht="15">
      <c r="A23" s="5"/>
      <c r="B23" s="4"/>
      <c r="C23" s="301"/>
      <c r="D23" s="301"/>
      <c r="E23" s="301"/>
      <c r="F23" s="301"/>
      <c r="G23" s="301"/>
      <c r="H23" s="301"/>
      <c r="I23" s="302"/>
    </row>
    <row r="24" spans="1:9" ht="15">
      <c r="A24" s="5" t="s">
        <v>48</v>
      </c>
      <c r="B24" s="4"/>
      <c r="C24" s="542"/>
      <c r="D24" s="301"/>
      <c r="E24" s="301"/>
      <c r="F24" s="301"/>
      <c r="G24" s="301"/>
      <c r="H24" s="301"/>
      <c r="I24" s="302"/>
    </row>
    <row r="25" spans="1:9" ht="15">
      <c r="A25" s="5"/>
      <c r="B25" s="4"/>
      <c r="C25" s="301"/>
      <c r="D25" s="301"/>
      <c r="E25" s="301"/>
      <c r="F25" s="301"/>
      <c r="G25" s="301"/>
      <c r="H25" s="301"/>
      <c r="I25" s="302"/>
    </row>
    <row r="26" spans="1:9" ht="15">
      <c r="A26" s="5" t="s">
        <v>49</v>
      </c>
      <c r="B26" s="4"/>
      <c r="C26" s="658">
        <f>Etab_CapaciteAutorisee</f>
        <v>0</v>
      </c>
      <c r="D26" s="301"/>
      <c r="E26" s="301"/>
      <c r="F26" s="301"/>
      <c r="G26" s="301"/>
      <c r="H26" s="301"/>
      <c r="I26" s="302"/>
    </row>
    <row r="27" spans="1:9" ht="15.75" thickBot="1">
      <c r="A27" s="6"/>
      <c r="B27" s="7"/>
      <c r="C27" s="305"/>
      <c r="D27" s="305"/>
      <c r="E27" s="305"/>
      <c r="F27" s="305"/>
      <c r="G27" s="305"/>
      <c r="H27" s="305"/>
      <c r="I27" s="306"/>
    </row>
    <row r="28" spans="1:9" ht="14.25" thickTop="1">
      <c r="A28" s="388"/>
      <c r="B28" s="388"/>
      <c r="C28" s="388"/>
      <c r="D28" s="388"/>
      <c r="E28" s="388"/>
      <c r="F28" s="388"/>
      <c r="G28" s="388"/>
      <c r="H28" s="388"/>
      <c r="I28" s="388"/>
    </row>
    <row r="29" spans="1:9" ht="12.75">
      <c r="A29" s="825" t="s">
        <v>0</v>
      </c>
      <c r="B29" s="825"/>
      <c r="C29" s="825"/>
      <c r="D29" s="825"/>
      <c r="E29" s="825"/>
      <c r="F29" s="828">
        <f>'Charges d''exploitation'!$E$131-produits!E46-produits!E82</f>
        <v>0</v>
      </c>
      <c r="G29" s="829">
        <f>'Charges d''exploitation'!$E$131-produits!I82+produits!I57</f>
        <v>0</v>
      </c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</sheetData>
  <sheetProtection password="B34F" sheet="1" formatCells="0" formatColumns="0" formatRows="0"/>
  <mergeCells count="11">
    <mergeCell ref="H12:I12"/>
    <mergeCell ref="A29:E29"/>
    <mergeCell ref="C6:F6"/>
    <mergeCell ref="C7:F7"/>
    <mergeCell ref="F29:G29"/>
    <mergeCell ref="B1:I1"/>
    <mergeCell ref="B2:I2"/>
    <mergeCell ref="D4:E4"/>
    <mergeCell ref="D8:E8"/>
    <mergeCell ref="D14:G14"/>
    <mergeCell ref="C18:I18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L60"/>
  <sheetViews>
    <sheetView showZeros="0" zoomScale="70" zoomScaleNormal="70" zoomScalePageLayoutView="0" workbookViewId="0" topLeftCell="A1">
      <selection activeCell="B8" sqref="B8"/>
    </sheetView>
  </sheetViews>
  <sheetFormatPr defaultColWidth="11.421875" defaultRowHeight="12.75"/>
  <cols>
    <col min="1" max="1" width="20.7109375" style="16" customWidth="1"/>
    <col min="2" max="2" width="14.28125" style="16" customWidth="1"/>
    <col min="3" max="3" width="14.421875" style="16" customWidth="1"/>
    <col min="4" max="4" width="15.28125" style="16" customWidth="1"/>
    <col min="5" max="5" width="14.7109375" style="16" customWidth="1"/>
    <col min="6" max="6" width="13.28125" style="17" customWidth="1"/>
    <col min="7" max="8" width="16.00390625" style="17" customWidth="1"/>
    <col min="9" max="9" width="20.28125" style="17" customWidth="1"/>
    <col min="10" max="10" width="15.8515625" style="17" customWidth="1"/>
    <col min="11" max="11" width="20.28125" style="17" customWidth="1"/>
    <col min="12" max="12" width="13.28125" style="17" customWidth="1"/>
    <col min="13" max="13" width="3.57421875" style="16" customWidth="1"/>
    <col min="14" max="16384" width="11.421875" style="16" customWidth="1"/>
  </cols>
  <sheetData>
    <row r="1" spans="1:11" ht="19.5">
      <c r="A1" s="843" t="s">
        <v>228</v>
      </c>
      <c r="B1" s="844"/>
      <c r="C1" s="844"/>
      <c r="D1" s="844"/>
      <c r="E1" s="844"/>
      <c r="F1" s="844"/>
      <c r="G1" s="844"/>
      <c r="H1" s="844"/>
      <c r="I1" s="844"/>
      <c r="J1" s="844"/>
      <c r="K1" s="845"/>
    </row>
    <row r="2" spans="1:11" ht="20.25" thickBot="1">
      <c r="A2" s="840" t="s">
        <v>229</v>
      </c>
      <c r="B2" s="841"/>
      <c r="C2" s="841"/>
      <c r="D2" s="841"/>
      <c r="E2" s="841"/>
      <c r="F2" s="841"/>
      <c r="G2" s="841"/>
      <c r="H2" s="841"/>
      <c r="I2" s="841"/>
      <c r="J2" s="841"/>
      <c r="K2" s="842"/>
    </row>
    <row r="3" spans="1:2" ht="24" customHeight="1">
      <c r="A3" s="14"/>
      <c r="B3" s="15"/>
    </row>
    <row r="4" spans="2:11" ht="24" customHeight="1">
      <c r="B4" s="18"/>
      <c r="G4" s="19"/>
      <c r="H4" s="19"/>
      <c r="I4" s="19"/>
      <c r="J4" s="19"/>
      <c r="K4" s="19"/>
    </row>
    <row r="5" spans="7:11" ht="24" customHeight="1">
      <c r="G5" s="848"/>
      <c r="H5" s="848"/>
      <c r="I5" s="846"/>
      <c r="J5" s="846"/>
      <c r="K5" s="846"/>
    </row>
    <row r="6" spans="2:12" s="20" customFormat="1" ht="51.75" customHeight="1">
      <c r="B6" s="21"/>
      <c r="D6" s="21"/>
      <c r="E6" s="21"/>
      <c r="F6" s="22"/>
      <c r="G6" s="848"/>
      <c r="H6" s="848"/>
      <c r="I6" s="847"/>
      <c r="J6" s="847"/>
      <c r="K6" s="847"/>
      <c r="L6" s="23"/>
    </row>
    <row r="7" spans="1:11" s="23" customFormat="1" ht="29.25" customHeight="1" thickBot="1">
      <c r="A7" s="24" t="s">
        <v>51</v>
      </c>
      <c r="B7" s="25" t="s">
        <v>52</v>
      </c>
      <c r="C7" s="25" t="s">
        <v>53</v>
      </c>
      <c r="D7" s="25" t="s">
        <v>54</v>
      </c>
      <c r="E7" s="25" t="s">
        <v>55</v>
      </c>
      <c r="F7" s="25" t="s">
        <v>56</v>
      </c>
      <c r="G7" s="26"/>
      <c r="H7" s="27"/>
      <c r="I7" s="27" t="s">
        <v>57</v>
      </c>
      <c r="J7" s="27" t="s">
        <v>58</v>
      </c>
      <c r="K7" s="27" t="s">
        <v>59</v>
      </c>
    </row>
    <row r="8" spans="1:11" s="29" customFormat="1" ht="24.75" customHeight="1" thickBot="1" thickTop="1">
      <c r="A8" s="28" t="s">
        <v>60</v>
      </c>
      <c r="B8" s="737">
        <f>IF(TotNbPlacesCARN2=0,SUM(B10:B21),TotNbPlacesCARN2)</f>
        <v>0</v>
      </c>
      <c r="C8" s="737">
        <f>IF(TotNbPlacesN=0,SUM(C10:C21),TotNbPlacesN)</f>
        <v>0</v>
      </c>
      <c r="D8" s="737">
        <f>IF(TotNbJoursOuvN=0,IF(C8=0,0,E8/C8),TotNbJoursOuvN)</f>
        <v>0</v>
      </c>
      <c r="E8" s="737">
        <f>IF(TotNbJoursN=0,SUM(E10:E21),TotNbJoursN)</f>
        <v>0</v>
      </c>
      <c r="F8" s="641">
        <f>IF(SUM(F10:F21)=0,C8*D8,SUM(F10:F21))</f>
        <v>0</v>
      </c>
      <c r="G8" s="300"/>
      <c r="H8" s="300"/>
      <c r="I8" s="741">
        <f>TotNbPlacesDgN</f>
        <v>0</v>
      </c>
      <c r="J8" s="742">
        <f>TotNbJoursDgBPN</f>
        <v>0</v>
      </c>
      <c r="K8" s="743">
        <f>TotNbJoursDgBPRN</f>
        <v>0</v>
      </c>
    </row>
    <row r="9" spans="1:11" s="29" customFormat="1" ht="24.75" customHeight="1" thickBot="1" thickTop="1">
      <c r="A9" s="26"/>
      <c r="B9" s="399"/>
      <c r="C9" s="399"/>
      <c r="D9" s="399"/>
      <c r="E9" s="399"/>
      <c r="F9" s="642"/>
      <c r="G9" s="300"/>
      <c r="H9" s="300"/>
      <c r="I9" s="642"/>
      <c r="J9" s="642"/>
      <c r="K9" s="642"/>
    </row>
    <row r="10" spans="1:11" s="29" customFormat="1" ht="24.75" customHeight="1" thickTop="1">
      <c r="A10" s="30" t="s">
        <v>61</v>
      </c>
      <c r="B10" s="738">
        <f>ExternatCARN2</f>
        <v>0</v>
      </c>
      <c r="C10" s="738">
        <f>Externat</f>
        <v>0</v>
      </c>
      <c r="D10" s="738">
        <f>JrsOuvExtern</f>
        <v>0</v>
      </c>
      <c r="E10" s="738">
        <f>JrsExternat</f>
        <v>0</v>
      </c>
      <c r="F10" s="643">
        <f>+C10*D10</f>
        <v>0</v>
      </c>
      <c r="G10" s="300"/>
      <c r="H10" s="300"/>
      <c r="I10" s="744">
        <f>ExternatDgN</f>
        <v>0</v>
      </c>
      <c r="J10" s="745">
        <f>JrsExternatDgBPN</f>
        <v>0</v>
      </c>
      <c r="K10" s="746">
        <f>JrsExternatDgBPRN</f>
        <v>0</v>
      </c>
    </row>
    <row r="11" spans="1:11" s="29" customFormat="1" ht="24.75" customHeight="1">
      <c r="A11" s="31" t="s">
        <v>62</v>
      </c>
      <c r="B11" s="739">
        <f>SemiIntCARN2</f>
        <v>0</v>
      </c>
      <c r="C11" s="739">
        <f>SemiInt</f>
        <v>0</v>
      </c>
      <c r="D11" s="739">
        <f>JrsOuvSemiInt</f>
        <v>0</v>
      </c>
      <c r="E11" s="739">
        <f>JrsSemiInt</f>
        <v>0</v>
      </c>
      <c r="F11" s="644">
        <f>+C11*D11</f>
        <v>0</v>
      </c>
      <c r="G11" s="300"/>
      <c r="H11" s="300"/>
      <c r="I11" s="747">
        <f>SemiIntDgN</f>
        <v>0</v>
      </c>
      <c r="J11" s="748">
        <f>JrsSemiIntDgBPN</f>
        <v>0</v>
      </c>
      <c r="K11" s="749">
        <f>JrsSemiIntDgBPRN</f>
        <v>0</v>
      </c>
    </row>
    <row r="12" spans="1:11" s="29" customFormat="1" ht="24.75" customHeight="1">
      <c r="A12" s="31" t="s">
        <v>63</v>
      </c>
      <c r="B12" s="739">
        <f>InternatCARN2</f>
        <v>0</v>
      </c>
      <c r="C12" s="739">
        <f>Internat</f>
        <v>0</v>
      </c>
      <c r="D12" s="739">
        <f>JrsOuvIntern</f>
        <v>0</v>
      </c>
      <c r="E12" s="739">
        <f>JrsInternat</f>
        <v>0</v>
      </c>
      <c r="F12" s="644">
        <f>+C12*D12</f>
        <v>0</v>
      </c>
      <c r="G12" s="300"/>
      <c r="H12" s="300"/>
      <c r="I12" s="747">
        <f>InternatDgN</f>
        <v>0</v>
      </c>
      <c r="J12" s="748">
        <f>JrsInternatDgBPN</f>
        <v>0</v>
      </c>
      <c r="K12" s="749">
        <f>JrsInternatDgBPRN</f>
        <v>0</v>
      </c>
    </row>
    <row r="13" spans="1:11" s="29" customFormat="1" ht="24.75" customHeight="1">
      <c r="A13" s="639" t="str">
        <f>LIBELLE_AUTRE1</f>
        <v>Autre1</v>
      </c>
      <c r="B13" s="739">
        <f>AAutre1CARN2</f>
        <v>0</v>
      </c>
      <c r="C13" s="739">
        <f>AAutre1</f>
        <v>0</v>
      </c>
      <c r="D13" s="739">
        <f>JrsOuvAAutre1</f>
        <v>0</v>
      </c>
      <c r="E13" s="739">
        <f>JrsAAutre1</f>
        <v>0</v>
      </c>
      <c r="F13" s="644">
        <f>+C13*D13</f>
        <v>0</v>
      </c>
      <c r="G13" s="300"/>
      <c r="H13" s="300"/>
      <c r="I13" s="747">
        <f>AAutre1DgN</f>
        <v>0</v>
      </c>
      <c r="J13" s="748">
        <f>JrsAAutre1DgBPN</f>
        <v>0</v>
      </c>
      <c r="K13" s="749">
        <f>JrsAAutre1DgBPRN</f>
        <v>0</v>
      </c>
    </row>
    <row r="14" spans="1:11" s="29" customFormat="1" ht="24.75" customHeight="1">
      <c r="A14" s="639" t="str">
        <f>LIBELLE_AUTRE2</f>
        <v>Autre2</v>
      </c>
      <c r="B14" s="739">
        <f>AAutre2CARN2</f>
        <v>0</v>
      </c>
      <c r="C14" s="739">
        <f>AAutre2</f>
        <v>0</v>
      </c>
      <c r="D14" s="739">
        <f>JrsOuvAAutre2</f>
        <v>0</v>
      </c>
      <c r="E14" s="739">
        <f>JrsAAutre2</f>
        <v>0</v>
      </c>
      <c r="F14" s="644">
        <f aca="true" t="shared" si="0" ref="F14:F21">C14*D14</f>
        <v>0</v>
      </c>
      <c r="G14" s="300"/>
      <c r="H14" s="300"/>
      <c r="I14" s="747">
        <f>AAutre2DgN</f>
        <v>0</v>
      </c>
      <c r="J14" s="748">
        <f>JrsAAutre2DgBPN</f>
        <v>0</v>
      </c>
      <c r="K14" s="749">
        <f>JrsAAutre2DgBPRN</f>
        <v>0</v>
      </c>
    </row>
    <row r="15" spans="1:11" s="29" customFormat="1" ht="24.75" customHeight="1">
      <c r="A15" s="639" t="str">
        <f>LIBELLE_AUTRE3</f>
        <v>Autre1</v>
      </c>
      <c r="B15" s="739">
        <f>AAutre3CARN2</f>
        <v>0</v>
      </c>
      <c r="C15" s="739">
        <f>AAutre3</f>
        <v>0</v>
      </c>
      <c r="D15" s="739">
        <f>JrsOuvAAutre3</f>
        <v>0</v>
      </c>
      <c r="E15" s="739">
        <f>JrsAAutre3</f>
        <v>0</v>
      </c>
      <c r="F15" s="644">
        <f t="shared" si="0"/>
        <v>0</v>
      </c>
      <c r="G15" s="300"/>
      <c r="H15" s="300"/>
      <c r="I15" s="747">
        <f>AAutre3DgN</f>
        <v>0</v>
      </c>
      <c r="J15" s="748">
        <f>JrsAAutre3DgBPN</f>
        <v>0</v>
      </c>
      <c r="K15" s="749">
        <f>JrsAAutre3DgBPRN</f>
        <v>0</v>
      </c>
    </row>
    <row r="16" spans="1:11" s="29" customFormat="1" ht="24.75" customHeight="1">
      <c r="A16" s="639" t="str">
        <f>LIBELLE_AUTRE4</f>
        <v>Autre4</v>
      </c>
      <c r="B16" s="739">
        <f>AAutre4CARN2</f>
        <v>0</v>
      </c>
      <c r="C16" s="739">
        <f>AAutre4</f>
        <v>0</v>
      </c>
      <c r="D16" s="739">
        <f>JrsOuvAAutre4</f>
        <v>0</v>
      </c>
      <c r="E16" s="739">
        <f>JrsAAutre4</f>
        <v>0</v>
      </c>
      <c r="F16" s="644">
        <f t="shared" si="0"/>
        <v>0</v>
      </c>
      <c r="G16" s="300"/>
      <c r="H16" s="300"/>
      <c r="I16" s="747">
        <f>AAutre4DgN</f>
        <v>0</v>
      </c>
      <c r="J16" s="748">
        <f>JrsAAutre4DgBPN</f>
        <v>0</v>
      </c>
      <c r="K16" s="749">
        <f>JrsAAutre4DgBPRN</f>
        <v>0</v>
      </c>
    </row>
    <row r="17" spans="1:11" s="29" customFormat="1" ht="24.75" customHeight="1">
      <c r="A17" s="639" t="str">
        <f>LIBELLE_AUTRE5</f>
        <v>Autre5</v>
      </c>
      <c r="B17" s="739">
        <f>AAutre5CARN2</f>
        <v>0</v>
      </c>
      <c r="C17" s="739">
        <f>AAutre5</f>
        <v>0</v>
      </c>
      <c r="D17" s="739">
        <f>JrsOuvAAutre5</f>
        <v>0</v>
      </c>
      <c r="E17" s="739">
        <f>JrsAAutre5</f>
        <v>0</v>
      </c>
      <c r="F17" s="644">
        <f t="shared" si="0"/>
        <v>0</v>
      </c>
      <c r="G17" s="300"/>
      <c r="H17" s="300"/>
      <c r="I17" s="747">
        <f>AAutre5DgN</f>
        <v>0</v>
      </c>
      <c r="J17" s="748">
        <f>JrsAAutre5DgBPN</f>
        <v>0</v>
      </c>
      <c r="K17" s="749">
        <f>JrsAAutre5DgBPRN</f>
        <v>0</v>
      </c>
    </row>
    <row r="18" spans="1:11" s="29" customFormat="1" ht="24.75" customHeight="1">
      <c r="A18" s="639" t="str">
        <f>LIBELLE_AUTRE6</f>
        <v>Autre6</v>
      </c>
      <c r="B18" s="739">
        <f>AAutre6CARN2</f>
        <v>0</v>
      </c>
      <c r="C18" s="739">
        <f>AAutre6</f>
        <v>0</v>
      </c>
      <c r="D18" s="739">
        <f>JrsOuvAAutre6</f>
        <v>0</v>
      </c>
      <c r="E18" s="739">
        <f>JrsAAutre6</f>
        <v>0</v>
      </c>
      <c r="F18" s="644">
        <f t="shared" si="0"/>
        <v>0</v>
      </c>
      <c r="G18" s="300"/>
      <c r="H18" s="300"/>
      <c r="I18" s="747">
        <f>AAutre6DgN</f>
        <v>0</v>
      </c>
      <c r="J18" s="748">
        <f>JrsAAutre6DgBPN</f>
        <v>0</v>
      </c>
      <c r="K18" s="749">
        <f>JrsAAutre6DgBPRN</f>
        <v>0</v>
      </c>
    </row>
    <row r="19" spans="1:11" s="29" customFormat="1" ht="24.75" customHeight="1">
      <c r="A19" s="639" t="str">
        <f>LIBELLE_AUTRE7</f>
        <v>Autre7</v>
      </c>
      <c r="B19" s="739">
        <f>AAutre7CARN2</f>
        <v>0</v>
      </c>
      <c r="C19" s="739">
        <f>AAutre7</f>
        <v>0</v>
      </c>
      <c r="D19" s="739">
        <f>JrsOuvAAutre7</f>
        <v>0</v>
      </c>
      <c r="E19" s="739">
        <f>JrsAAutre7</f>
        <v>0</v>
      </c>
      <c r="F19" s="644">
        <f t="shared" si="0"/>
        <v>0</v>
      </c>
      <c r="G19" s="300"/>
      <c r="H19" s="300"/>
      <c r="I19" s="747">
        <f>AAutre7DgN</f>
        <v>0</v>
      </c>
      <c r="J19" s="748">
        <f>JrsAAutre7DgBPN</f>
        <v>0</v>
      </c>
      <c r="K19" s="749">
        <f>JrsAAutre7DgBPRN</f>
        <v>0</v>
      </c>
    </row>
    <row r="20" spans="1:11" s="29" customFormat="1" ht="24.75" customHeight="1">
      <c r="A20" s="639" t="str">
        <f>LIBELLE_AUTRE8</f>
        <v>Autre8</v>
      </c>
      <c r="B20" s="739">
        <f>AAutre8CARN2</f>
        <v>0</v>
      </c>
      <c r="C20" s="739">
        <f>AAutre8</f>
        <v>0</v>
      </c>
      <c r="D20" s="739">
        <f>JrsOuvAAutre8</f>
        <v>0</v>
      </c>
      <c r="E20" s="739">
        <f>JrsAAutre8</f>
        <v>0</v>
      </c>
      <c r="F20" s="644">
        <f t="shared" si="0"/>
        <v>0</v>
      </c>
      <c r="G20" s="300"/>
      <c r="H20" s="300"/>
      <c r="I20" s="747">
        <f>AAutre8DgN</f>
        <v>0</v>
      </c>
      <c r="J20" s="748">
        <f>JrsAAutre8DgBPN</f>
        <v>0</v>
      </c>
      <c r="K20" s="749">
        <f>JrsAAutre8DgBPRN</f>
        <v>0</v>
      </c>
    </row>
    <row r="21" spans="1:11" s="29" customFormat="1" ht="24.75" customHeight="1" thickBot="1">
      <c r="A21" s="640" t="str">
        <f>LIBELLE_AUTRE9</f>
        <v>Autre9</v>
      </c>
      <c r="B21" s="740">
        <f>AAutre9CARN2</f>
        <v>0</v>
      </c>
      <c r="C21" s="740">
        <f>AAutre9</f>
        <v>0</v>
      </c>
      <c r="D21" s="740">
        <f>JrsOuvAAutre9</f>
        <v>0</v>
      </c>
      <c r="E21" s="740">
        <f>JrsAAutre9</f>
        <v>0</v>
      </c>
      <c r="F21" s="645">
        <f t="shared" si="0"/>
        <v>0</v>
      </c>
      <c r="G21" s="300"/>
      <c r="H21" s="300"/>
      <c r="I21" s="747">
        <f>AAutre9DgN</f>
        <v>0</v>
      </c>
      <c r="J21" s="748">
        <f>JrsAAutre9DgBPN</f>
        <v>0</v>
      </c>
      <c r="K21" s="749">
        <f>JrsAAutre9DgBPRN</f>
        <v>0</v>
      </c>
    </row>
    <row r="22" spans="1:12" s="32" customFormat="1" ht="24" customHeight="1" thickTop="1">
      <c r="A22" s="26"/>
      <c r="B22" s="300"/>
      <c r="C22" s="300"/>
      <c r="D22" s="300"/>
      <c r="E22" s="300"/>
      <c r="F22" s="300"/>
      <c r="G22" s="23"/>
      <c r="H22" s="23"/>
      <c r="I22" s="23"/>
      <c r="J22" s="29"/>
      <c r="K22" s="29"/>
      <c r="L22" s="29"/>
    </row>
    <row r="23" spans="1:12" s="34" customFormat="1" ht="19.5" customHeight="1">
      <c r="A23" s="20"/>
      <c r="B23" s="20"/>
      <c r="C23" s="20"/>
      <c r="D23" s="20"/>
      <c r="E23" s="20"/>
      <c r="F23" s="23"/>
      <c r="G23" s="23"/>
      <c r="H23" s="23"/>
      <c r="I23" s="23"/>
      <c r="J23" s="33"/>
      <c r="K23" s="33"/>
      <c r="L23" s="33"/>
    </row>
    <row r="24" spans="1:12" s="34" customFormat="1" ht="30.75" customHeight="1">
      <c r="A24" s="20"/>
      <c r="B24" s="20"/>
      <c r="C24" s="20"/>
      <c r="D24" s="20"/>
      <c r="E24" s="20"/>
      <c r="F24" s="23"/>
      <c r="G24" s="23"/>
      <c r="H24" s="23"/>
      <c r="I24" s="23"/>
      <c r="J24" s="33"/>
      <c r="K24" s="33"/>
      <c r="L24" s="33"/>
    </row>
    <row r="25" spans="1:11" s="23" customFormat="1" ht="34.5" customHeight="1" thickBot="1">
      <c r="A25" s="35" t="s">
        <v>64</v>
      </c>
      <c r="B25" s="25"/>
      <c r="C25" s="25" t="s">
        <v>65</v>
      </c>
      <c r="D25" s="25" t="s">
        <v>66</v>
      </c>
      <c r="E25" s="25" t="s">
        <v>67</v>
      </c>
      <c r="F25" s="25" t="s">
        <v>68</v>
      </c>
      <c r="G25" s="25" t="s">
        <v>69</v>
      </c>
      <c r="H25" s="25" t="s">
        <v>70</v>
      </c>
      <c r="I25" s="25" t="s">
        <v>71</v>
      </c>
      <c r="J25" s="25" t="s">
        <v>72</v>
      </c>
      <c r="K25" s="25" t="s">
        <v>73</v>
      </c>
    </row>
    <row r="26" spans="1:11" s="37" customFormat="1" ht="24.75" customHeight="1" thickBot="1" thickTop="1">
      <c r="A26" s="36" t="s">
        <v>74</v>
      </c>
      <c r="B26" s="714"/>
      <c r="C26" s="742">
        <f>TotNbJoursCARN4</f>
        <v>0</v>
      </c>
      <c r="D26" s="742">
        <f>TotNbJoursCARN3</f>
        <v>0</v>
      </c>
      <c r="E26" s="742">
        <f>TotNbJoursCARN2</f>
        <v>0</v>
      </c>
      <c r="F26" s="646">
        <f>AVERAGE(C26:E26)</f>
        <v>0</v>
      </c>
      <c r="G26" s="742">
        <f>TotNbJoursBPRN1</f>
        <v>0</v>
      </c>
      <c r="H26" s="742">
        <f>TotNbJoursN</f>
        <v>0</v>
      </c>
      <c r="I26" s="416">
        <f>IF(ISERROR(H26/F8),,H26/F8)</f>
        <v>0</v>
      </c>
      <c r="J26" s="761">
        <f>TotNbJoursBPRN</f>
        <v>0</v>
      </c>
      <c r="K26" s="715"/>
    </row>
    <row r="27" spans="1:11" s="23" customFormat="1" ht="24.75" customHeight="1" thickBot="1" thickTop="1">
      <c r="A27" s="26"/>
      <c r="B27" s="299"/>
      <c r="C27" s="642"/>
      <c r="D27" s="642"/>
      <c r="E27" s="642"/>
      <c r="F27" s="647"/>
      <c r="G27" s="642"/>
      <c r="H27" s="642"/>
      <c r="I27" s="394"/>
      <c r="J27" s="649"/>
      <c r="K27" s="650"/>
    </row>
    <row r="28" spans="1:11" s="23" customFormat="1" ht="24.75" customHeight="1" thickTop="1">
      <c r="A28" s="30" t="s">
        <v>61</v>
      </c>
      <c r="B28" s="750" t="str">
        <f>NJrsExternat_COM</f>
        <v> </v>
      </c>
      <c r="C28" s="745">
        <f>JrsExternatCARN4</f>
        <v>0</v>
      </c>
      <c r="D28" s="751">
        <f>JrsExternatCARN3</f>
        <v>0</v>
      </c>
      <c r="E28" s="752">
        <f>JrsExternatCARN2</f>
        <v>0</v>
      </c>
      <c r="F28" s="598">
        <f>AVERAGE(C28:E28)</f>
        <v>0</v>
      </c>
      <c r="G28" s="751">
        <f>JrsExternatBPRN1</f>
        <v>0</v>
      </c>
      <c r="H28" s="745">
        <f>JrsExternat</f>
        <v>0</v>
      </c>
      <c r="I28" s="417">
        <f>IF(ISERROR(H28/F10),,H28/F10)</f>
        <v>0</v>
      </c>
      <c r="J28" s="762">
        <f>JrsExternatBPRN</f>
        <v>0</v>
      </c>
      <c r="K28" s="763">
        <f>TxOccExternatBPRN/100</f>
        <v>0</v>
      </c>
    </row>
    <row r="29" spans="1:11" s="23" customFormat="1" ht="24.75" customHeight="1">
      <c r="A29" s="31" t="s">
        <v>62</v>
      </c>
      <c r="B29" s="753" t="str">
        <f>NJrsSemiInt_COM</f>
        <v> </v>
      </c>
      <c r="C29" s="754">
        <f>JrsSemiIntCARN4</f>
        <v>0</v>
      </c>
      <c r="D29" s="755">
        <f>JrsSemiIntCARN3</f>
        <v>0</v>
      </c>
      <c r="E29" s="756">
        <f>JrsSemiIntCARN2</f>
        <v>0</v>
      </c>
      <c r="F29" s="599">
        <f>AVERAGE(C29:E29)</f>
        <v>0</v>
      </c>
      <c r="G29" s="755">
        <f>JrsSemiIntBPRN1</f>
        <v>0</v>
      </c>
      <c r="H29" s="748">
        <f>JrsSemiInt</f>
        <v>0</v>
      </c>
      <c r="I29" s="418">
        <f>IF(ISERROR(H29/F11),,H29/F11)</f>
        <v>0</v>
      </c>
      <c r="J29" s="764">
        <f>JrsSemiIntBPRN</f>
        <v>0</v>
      </c>
      <c r="K29" s="765">
        <f>TxOccSemiIntBPRN/100</f>
        <v>0</v>
      </c>
    </row>
    <row r="30" spans="1:11" s="23" customFormat="1" ht="24.75" customHeight="1">
      <c r="A30" s="31" t="s">
        <v>63</v>
      </c>
      <c r="B30" s="753" t="str">
        <f>NJrsInternat_COM</f>
        <v> </v>
      </c>
      <c r="C30" s="757">
        <f>JrsInternatCARN4</f>
        <v>0</v>
      </c>
      <c r="D30" s="755">
        <f>JrsInternatCARN3</f>
        <v>0</v>
      </c>
      <c r="E30" s="756">
        <f>JrsInternatCARN2</f>
        <v>0</v>
      </c>
      <c r="F30" s="599">
        <f>AVERAGE(C30:E30)</f>
        <v>0</v>
      </c>
      <c r="G30" s="755">
        <f>JrsInternatBPRN1</f>
        <v>0</v>
      </c>
      <c r="H30" s="748">
        <f>JrsInternat</f>
        <v>0</v>
      </c>
      <c r="I30" s="418">
        <f>IF(ISERROR(H30/F12),,H30/F12)</f>
        <v>0</v>
      </c>
      <c r="J30" s="764">
        <f>JrsInternatBPRN</f>
        <v>0</v>
      </c>
      <c r="K30" s="765">
        <f>TxOccInternatBPRN/100</f>
        <v>0</v>
      </c>
    </row>
    <row r="31" spans="1:11" s="23" customFormat="1" ht="24.75" customHeight="1">
      <c r="A31" s="639" t="str">
        <f>LIBELLE_AUTRE1</f>
        <v>Autre1</v>
      </c>
      <c r="B31" s="753" t="str">
        <f>NJrsAAutre1_COM</f>
        <v> </v>
      </c>
      <c r="C31" s="757">
        <f>JrsAAutre1CARN4</f>
        <v>0</v>
      </c>
      <c r="D31" s="755">
        <f>JrsAAutre1CARN3</f>
        <v>0</v>
      </c>
      <c r="E31" s="756">
        <f>JrsAAutre1CARN2</f>
        <v>0</v>
      </c>
      <c r="F31" s="599">
        <f>AVERAGE(C31:E31)</f>
        <v>0</v>
      </c>
      <c r="G31" s="755">
        <f>JrsAAutre1BPRN1</f>
        <v>0</v>
      </c>
      <c r="H31" s="748">
        <f>JrsAAutre1</f>
        <v>0</v>
      </c>
      <c r="I31" s="418">
        <f>IF(ISERROR(H31/F13),,H31/F13)</f>
        <v>0</v>
      </c>
      <c r="J31" s="764">
        <f>JrsAAutre1BPRN</f>
        <v>0</v>
      </c>
      <c r="K31" s="765">
        <f>TxOccAAutre1BPRN/100</f>
        <v>0</v>
      </c>
    </row>
    <row r="32" spans="1:11" s="23" customFormat="1" ht="24.75" customHeight="1">
      <c r="A32" s="639" t="str">
        <f>LIBELLE_AUTRE2</f>
        <v>Autre2</v>
      </c>
      <c r="B32" s="753" t="str">
        <f>NJrsAAutre2_COM</f>
        <v> </v>
      </c>
      <c r="C32" s="757">
        <f>JrsAAutre2CARN4</f>
        <v>0</v>
      </c>
      <c r="D32" s="755">
        <f>JrsAAutre2CARN3</f>
        <v>0</v>
      </c>
      <c r="E32" s="756">
        <f>JrsAAutre2CARN2</f>
        <v>0</v>
      </c>
      <c r="F32" s="713">
        <f>AVERAGE(C32:E32)</f>
        <v>0</v>
      </c>
      <c r="G32" s="755">
        <f>JrsAAutre2BPRN1</f>
        <v>0</v>
      </c>
      <c r="H32" s="748">
        <f>JrsAAutre2</f>
        <v>0</v>
      </c>
      <c r="I32" s="418">
        <f aca="true" t="shared" si="1" ref="I32:I38">IF(ISERROR(H32/F14),,H32/F14)</f>
        <v>0</v>
      </c>
      <c r="J32" s="764">
        <f>JrsAAutre2BPRN</f>
        <v>0</v>
      </c>
      <c r="K32" s="765">
        <f>TxOccAAutre2BPRN/100</f>
        <v>0</v>
      </c>
    </row>
    <row r="33" spans="1:11" s="23" customFormat="1" ht="24.75" customHeight="1">
      <c r="A33" s="639" t="str">
        <f>LIBELLE_AUTRE3</f>
        <v>Autre1</v>
      </c>
      <c r="B33" s="753" t="str">
        <f>NJrsAAutre3_COM</f>
        <v> </v>
      </c>
      <c r="C33" s="757">
        <f>JrsAAutre3CARN4</f>
        <v>0</v>
      </c>
      <c r="D33" s="755">
        <f>JrsAAutre3CARN3</f>
        <v>0</v>
      </c>
      <c r="E33" s="756">
        <f>JrsAAutre3CARN2</f>
        <v>0</v>
      </c>
      <c r="F33" s="713">
        <f aca="true" t="shared" si="2" ref="F33:F39">AVERAGE(C33:E33)</f>
        <v>0</v>
      </c>
      <c r="G33" s="755">
        <f>JrsAAutre3BPRN1</f>
        <v>0</v>
      </c>
      <c r="H33" s="748">
        <f>JrsAAutre3</f>
        <v>0</v>
      </c>
      <c r="I33" s="418">
        <f t="shared" si="1"/>
        <v>0</v>
      </c>
      <c r="J33" s="764">
        <f>JrsAAutre3BPRN</f>
        <v>0</v>
      </c>
      <c r="K33" s="765">
        <f>TxOccAAutre3BPRN/100</f>
        <v>0</v>
      </c>
    </row>
    <row r="34" spans="1:11" s="23" customFormat="1" ht="24.75" customHeight="1">
      <c r="A34" s="639" t="str">
        <f>LIBELLE_AUTRE4</f>
        <v>Autre4</v>
      </c>
      <c r="B34" s="753" t="str">
        <f>NJrsAAutre4_COM</f>
        <v> </v>
      </c>
      <c r="C34" s="757">
        <f>JrsAAutre4CARN4</f>
        <v>0</v>
      </c>
      <c r="D34" s="755">
        <f>JrsAAutre4CARN3</f>
        <v>0</v>
      </c>
      <c r="E34" s="756">
        <f>JrsAAutre4CARN2</f>
        <v>0</v>
      </c>
      <c r="F34" s="713">
        <f t="shared" si="2"/>
        <v>0</v>
      </c>
      <c r="G34" s="755">
        <f>JrsAAutre4BPRN1</f>
        <v>0</v>
      </c>
      <c r="H34" s="748">
        <f>JrsAAutre4</f>
        <v>0</v>
      </c>
      <c r="I34" s="418">
        <f>IF(ISERROR(H34/F16),,H34/F16)</f>
        <v>0</v>
      </c>
      <c r="J34" s="764">
        <f>JrsAAutre4BPRN</f>
        <v>0</v>
      </c>
      <c r="K34" s="765">
        <f>TxOccAAutre4BPRN/100</f>
        <v>0</v>
      </c>
    </row>
    <row r="35" spans="1:11" s="23" customFormat="1" ht="24.75" customHeight="1">
      <c r="A35" s="639" t="str">
        <f>LIBELLE_AUTRE5</f>
        <v>Autre5</v>
      </c>
      <c r="B35" s="753" t="str">
        <f>NJrsAAutre5_COM</f>
        <v> </v>
      </c>
      <c r="C35" s="757">
        <f>JrsAAutre5CARN4</f>
        <v>0</v>
      </c>
      <c r="D35" s="755">
        <f>JrsAAutre5CARN3</f>
        <v>0</v>
      </c>
      <c r="E35" s="756">
        <f>JrsAAutre5CARN2</f>
        <v>0</v>
      </c>
      <c r="F35" s="713">
        <f t="shared" si="2"/>
        <v>0</v>
      </c>
      <c r="G35" s="755">
        <f>JrsAAutre5BPRN1</f>
        <v>0</v>
      </c>
      <c r="H35" s="748">
        <f>JrsAAutre5</f>
        <v>0</v>
      </c>
      <c r="I35" s="418">
        <f t="shared" si="1"/>
        <v>0</v>
      </c>
      <c r="J35" s="764">
        <f>JrsAAutre5BPRN</f>
        <v>0</v>
      </c>
      <c r="K35" s="765">
        <f>TxOccAAutre5BPRN/100</f>
        <v>0</v>
      </c>
    </row>
    <row r="36" spans="1:11" s="23" customFormat="1" ht="24.75" customHeight="1">
      <c r="A36" s="639" t="str">
        <f>LIBELLE_AUTRE6</f>
        <v>Autre6</v>
      </c>
      <c r="B36" s="753" t="str">
        <f>NJrsAAutre6_COM</f>
        <v> </v>
      </c>
      <c r="C36" s="748">
        <f>JrsAAutre6CARN4</f>
        <v>0</v>
      </c>
      <c r="D36" s="755">
        <f>JrsAAutre6CARN3</f>
        <v>0</v>
      </c>
      <c r="E36" s="756">
        <f>JrsAAutre6CARN2</f>
        <v>0</v>
      </c>
      <c r="F36" s="713">
        <f t="shared" si="2"/>
        <v>0</v>
      </c>
      <c r="G36" s="755">
        <f>JrsAAutre6BPRN1</f>
        <v>0</v>
      </c>
      <c r="H36" s="748">
        <f>JrsAAutre6</f>
        <v>0</v>
      </c>
      <c r="I36" s="418">
        <f t="shared" si="1"/>
        <v>0</v>
      </c>
      <c r="J36" s="764">
        <f>JrsAAutre6BPRN</f>
        <v>0</v>
      </c>
      <c r="K36" s="765">
        <f>TxOccAAutre6BPRN/100</f>
        <v>0</v>
      </c>
    </row>
    <row r="37" spans="1:11" s="23" customFormat="1" ht="24.75" customHeight="1">
      <c r="A37" s="639" t="str">
        <f>LIBELLE_AUTRE7</f>
        <v>Autre7</v>
      </c>
      <c r="B37" s="753" t="str">
        <f>NJrsAAutre7_COM</f>
        <v> </v>
      </c>
      <c r="C37" s="748">
        <f>JrsAAutre7CARN4</f>
        <v>0</v>
      </c>
      <c r="D37" s="755">
        <f>JrsAAutre7CARN3</f>
        <v>0</v>
      </c>
      <c r="E37" s="756">
        <f>JrsAAutre7CARN2</f>
        <v>0</v>
      </c>
      <c r="F37" s="713">
        <f t="shared" si="2"/>
        <v>0</v>
      </c>
      <c r="G37" s="755">
        <f>JrsAAutre7BPRN1</f>
        <v>0</v>
      </c>
      <c r="H37" s="748">
        <f>JrsAAutre7</f>
        <v>0</v>
      </c>
      <c r="I37" s="418">
        <f t="shared" si="1"/>
        <v>0</v>
      </c>
      <c r="J37" s="764">
        <f>JrsAAutre7BPRN</f>
        <v>0</v>
      </c>
      <c r="K37" s="765">
        <f>TxOccAAutre7BPRN/100</f>
        <v>0</v>
      </c>
    </row>
    <row r="38" spans="1:11" s="23" customFormat="1" ht="24.75" customHeight="1">
      <c r="A38" s="639" t="str">
        <f>LIBELLE_AUTRE8</f>
        <v>Autre8</v>
      </c>
      <c r="B38" s="753" t="str">
        <f>NJrsAAutre8_COM</f>
        <v> </v>
      </c>
      <c r="C38" s="754">
        <f>JrsAAutre8CARN4</f>
        <v>0</v>
      </c>
      <c r="D38" s="755">
        <f>JrsAAutre8CARN3</f>
        <v>0</v>
      </c>
      <c r="E38" s="756">
        <f>JrsAAutre8CARN2</f>
        <v>0</v>
      </c>
      <c r="F38" s="713">
        <f t="shared" si="2"/>
        <v>0</v>
      </c>
      <c r="G38" s="755">
        <f>JrsAAutre8BPRN1</f>
        <v>0</v>
      </c>
      <c r="H38" s="748">
        <f>JrsAAutre8</f>
        <v>0</v>
      </c>
      <c r="I38" s="418">
        <f t="shared" si="1"/>
        <v>0</v>
      </c>
      <c r="J38" s="764">
        <f>JrsAAutre8BPRN</f>
        <v>0</v>
      </c>
      <c r="K38" s="765">
        <f>TxOccAAutre8BPRN/100</f>
        <v>0</v>
      </c>
    </row>
    <row r="39" spans="1:11" s="37" customFormat="1" ht="24.75" customHeight="1" thickBot="1">
      <c r="A39" s="640" t="str">
        <f>LIBELLE_AUTRE9</f>
        <v>Autre9</v>
      </c>
      <c r="B39" s="758" t="str">
        <f>NJrsAAutre9_COM</f>
        <v> </v>
      </c>
      <c r="C39" s="759">
        <f>JrsAAutre9CARN4</f>
        <v>0</v>
      </c>
      <c r="D39" s="760">
        <f>JrsAAutre9CARN3</f>
        <v>0</v>
      </c>
      <c r="E39" s="759">
        <f>JrsAAutre9CARN2</f>
        <v>0</v>
      </c>
      <c r="F39" s="648">
        <f t="shared" si="2"/>
        <v>0</v>
      </c>
      <c r="G39" s="759">
        <f>JrsAAutre9BPRN1</f>
        <v>0</v>
      </c>
      <c r="H39" s="759">
        <f>JrsAAutre9</f>
        <v>0</v>
      </c>
      <c r="I39" s="419">
        <f>IF(ISERROR(H39/F21),,H39/F21)</f>
        <v>0</v>
      </c>
      <c r="J39" s="766">
        <f>JrsAAutre9BPRN</f>
        <v>0</v>
      </c>
      <c r="K39" s="767">
        <f>TxOccAAutre9BPRN/100</f>
        <v>0</v>
      </c>
    </row>
    <row r="40" spans="1:6" s="37" customFormat="1" ht="33" customHeight="1" thickTop="1">
      <c r="A40" s="23"/>
      <c r="B40" s="23"/>
      <c r="C40" s="23"/>
      <c r="D40" s="23"/>
      <c r="E40" s="23"/>
      <c r="F40" s="23"/>
    </row>
    <row r="41" spans="1:6" s="37" customFormat="1" ht="33" customHeight="1">
      <c r="A41" s="23"/>
      <c r="B41" s="23"/>
      <c r="C41" s="23"/>
      <c r="D41" s="23"/>
      <c r="E41" s="23"/>
      <c r="F41" s="23"/>
    </row>
    <row r="42" spans="1:12" s="38" customFormat="1" ht="33" customHeight="1">
      <c r="A42" s="20"/>
      <c r="B42" s="20"/>
      <c r="C42" s="20"/>
      <c r="D42" s="20"/>
      <c r="E42" s="20"/>
      <c r="F42" s="23"/>
      <c r="G42" s="37"/>
      <c r="H42" s="37"/>
      <c r="I42" s="37"/>
      <c r="J42" s="37"/>
      <c r="K42" s="37"/>
      <c r="L42" s="37"/>
    </row>
    <row r="43" spans="1:12" s="38" customFormat="1" ht="64.5" customHeight="1">
      <c r="A43" s="15"/>
      <c r="B43" s="15"/>
      <c r="C43" s="15"/>
      <c r="D43" s="15"/>
      <c r="E43" s="15"/>
      <c r="F43" s="19"/>
      <c r="G43" s="19"/>
      <c r="H43" s="23"/>
      <c r="I43" s="29"/>
      <c r="J43" s="37"/>
      <c r="K43" s="37"/>
      <c r="L43" s="37"/>
    </row>
    <row r="44" spans="1:12" s="20" customFormat="1" ht="24" customHeight="1">
      <c r="A44" s="15"/>
      <c r="B44" s="15"/>
      <c r="C44" s="15"/>
      <c r="D44" s="15"/>
      <c r="E44" s="15"/>
      <c r="F44" s="19"/>
      <c r="G44" s="19"/>
      <c r="H44" s="23"/>
      <c r="I44" s="23"/>
      <c r="J44" s="23"/>
      <c r="K44" s="23"/>
      <c r="L44" s="23"/>
    </row>
    <row r="45" spans="1:12" s="32" customFormat="1" ht="24" customHeight="1">
      <c r="A45" s="15"/>
      <c r="B45" s="15"/>
      <c r="C45" s="15"/>
      <c r="D45" s="15"/>
      <c r="E45" s="15"/>
      <c r="F45" s="19"/>
      <c r="G45" s="19"/>
      <c r="H45" s="23"/>
      <c r="I45" s="23"/>
      <c r="J45" s="29"/>
      <c r="K45" s="29"/>
      <c r="L45" s="29"/>
    </row>
    <row r="46" spans="1:12" s="32" customFormat="1" ht="24" customHeight="1">
      <c r="A46" s="15"/>
      <c r="B46" s="15"/>
      <c r="C46" s="15"/>
      <c r="D46" s="15"/>
      <c r="E46" s="15"/>
      <c r="F46" s="19"/>
      <c r="G46" s="19"/>
      <c r="H46" s="23"/>
      <c r="I46" s="23"/>
      <c r="J46" s="29"/>
      <c r="K46" s="29"/>
      <c r="L46" s="29"/>
    </row>
    <row r="47" spans="1:12" s="32" customFormat="1" ht="29.25" customHeight="1">
      <c r="A47" s="15"/>
      <c r="B47" s="15"/>
      <c r="C47" s="15"/>
      <c r="D47" s="15"/>
      <c r="E47" s="15"/>
      <c r="F47" s="19"/>
      <c r="G47" s="19"/>
      <c r="H47" s="23"/>
      <c r="I47" s="23"/>
      <c r="J47" s="23"/>
      <c r="K47" s="29"/>
      <c r="L47" s="29"/>
    </row>
    <row r="48" spans="1:12" s="32" customFormat="1" ht="24.75" customHeight="1">
      <c r="A48" s="15"/>
      <c r="B48" s="15"/>
      <c r="C48" s="15"/>
      <c r="D48" s="15"/>
      <c r="E48" s="15"/>
      <c r="F48" s="19"/>
      <c r="G48" s="19"/>
      <c r="H48" s="37"/>
      <c r="I48" s="37"/>
      <c r="J48" s="37"/>
      <c r="K48" s="29"/>
      <c r="L48" s="29"/>
    </row>
    <row r="49" spans="1:10" ht="16.5" customHeight="1">
      <c r="A49" s="15"/>
      <c r="B49" s="15"/>
      <c r="C49" s="15"/>
      <c r="D49" s="15"/>
      <c r="E49" s="15"/>
      <c r="F49" s="19"/>
      <c r="G49" s="19"/>
      <c r="H49" s="37"/>
      <c r="I49" s="37"/>
      <c r="J49" s="37"/>
    </row>
    <row r="50" spans="1:10" ht="24.75" customHeight="1">
      <c r="A50" s="15"/>
      <c r="B50" s="15"/>
      <c r="C50" s="15"/>
      <c r="D50" s="15"/>
      <c r="E50" s="15"/>
      <c r="F50" s="19"/>
      <c r="G50" s="19"/>
      <c r="H50" s="37"/>
      <c r="I50" s="37"/>
      <c r="J50" s="37"/>
    </row>
    <row r="51" spans="1:10" ht="24.75" customHeight="1">
      <c r="A51" s="15"/>
      <c r="B51" s="15"/>
      <c r="C51" s="15"/>
      <c r="D51" s="15"/>
      <c r="E51" s="15"/>
      <c r="F51" s="19"/>
      <c r="G51" s="19"/>
      <c r="H51" s="23"/>
      <c r="I51" s="23"/>
      <c r="J51" s="23"/>
    </row>
    <row r="52" spans="1:10" ht="24.75" customHeight="1">
      <c r="A52" s="15"/>
      <c r="B52" s="15"/>
      <c r="C52" s="15"/>
      <c r="D52" s="15"/>
      <c r="E52" s="15"/>
      <c r="F52" s="19"/>
      <c r="G52" s="19"/>
      <c r="H52" s="23"/>
      <c r="I52" s="23"/>
      <c r="J52" s="23"/>
    </row>
    <row r="53" spans="1:10" ht="24.75" customHeight="1">
      <c r="A53" s="15"/>
      <c r="B53" s="15"/>
      <c r="C53" s="15"/>
      <c r="D53" s="15"/>
      <c r="E53" s="15"/>
      <c r="F53" s="19"/>
      <c r="G53" s="19"/>
      <c r="H53" s="23"/>
      <c r="I53" s="23"/>
      <c r="J53" s="23"/>
    </row>
    <row r="54" spans="1:10" ht="24.75" customHeight="1">
      <c r="A54" s="15"/>
      <c r="B54" s="15"/>
      <c r="C54" s="15"/>
      <c r="D54" s="15"/>
      <c r="E54" s="15"/>
      <c r="F54" s="19"/>
      <c r="G54" s="19"/>
      <c r="H54" s="23"/>
      <c r="I54" s="23"/>
      <c r="J54" s="23"/>
    </row>
    <row r="55" spans="1:10" ht="24.75" customHeight="1">
      <c r="A55" s="15"/>
      <c r="B55" s="15"/>
      <c r="C55" s="15"/>
      <c r="D55" s="15"/>
      <c r="E55" s="15"/>
      <c r="F55" s="19"/>
      <c r="G55" s="19"/>
      <c r="H55" s="23"/>
      <c r="I55" s="23"/>
      <c r="J55" s="23"/>
    </row>
    <row r="56" spans="1:9" ht="18.75">
      <c r="A56" s="15"/>
      <c r="B56" s="15"/>
      <c r="C56" s="15"/>
      <c r="D56" s="15"/>
      <c r="E56" s="15"/>
      <c r="F56" s="19"/>
      <c r="G56" s="19"/>
      <c r="H56" s="23"/>
      <c r="I56" s="23"/>
    </row>
    <row r="57" spans="1:9" ht="18.75">
      <c r="A57" s="32"/>
      <c r="B57" s="15"/>
      <c r="C57" s="15"/>
      <c r="D57" s="15"/>
      <c r="E57" s="15"/>
      <c r="F57" s="19"/>
      <c r="G57" s="19"/>
      <c r="H57" s="19"/>
      <c r="I57" s="19"/>
    </row>
    <row r="58" spans="1:9" ht="18.75">
      <c r="A58" s="32"/>
      <c r="B58" s="15"/>
      <c r="C58" s="15"/>
      <c r="D58" s="15"/>
      <c r="E58" s="15"/>
      <c r="F58" s="19"/>
      <c r="G58" s="19"/>
      <c r="H58" s="19"/>
      <c r="I58" s="19"/>
    </row>
    <row r="59" spans="1:9" ht="18.75">
      <c r="A59" s="32"/>
      <c r="B59" s="15"/>
      <c r="C59" s="15"/>
      <c r="D59" s="15"/>
      <c r="E59" s="15"/>
      <c r="F59" s="19"/>
      <c r="G59" s="19"/>
      <c r="H59" s="19"/>
      <c r="I59" s="19"/>
    </row>
    <row r="60" spans="1:9" ht="18.75">
      <c r="A60" s="32"/>
      <c r="B60" s="32"/>
      <c r="C60" s="32"/>
      <c r="D60" s="32"/>
      <c r="E60" s="32"/>
      <c r="F60" s="29"/>
      <c r="G60" s="29"/>
      <c r="H60" s="29"/>
      <c r="I60" s="29"/>
    </row>
  </sheetData>
  <sheetProtection password="B34F" sheet="1" formatCells="0" formatColumns="0" formatRows="0"/>
  <mergeCells count="6">
    <mergeCell ref="A2:K2"/>
    <mergeCell ref="A1:K1"/>
    <mergeCell ref="J5:J6"/>
    <mergeCell ref="K5:K6"/>
    <mergeCell ref="G5:H6"/>
    <mergeCell ref="I5:I6"/>
  </mergeCells>
  <printOptions horizontalCentered="1" verticalCentered="1"/>
  <pageMargins left="0.2362204724409449" right="0" top="0.3937007874015748" bottom="0" header="0.2362204724409449" footer="0.1968503937007874"/>
  <pageSetup firstPageNumber="2" useFirstPageNumber="1" orientation="landscape" paperSize="9" scale="70" r:id="rId2"/>
  <headerFooter alignWithMargins="0">
    <oddHeader>&amp;L&amp;"Arial,Gras"&amp;14ANNEXE 1-1 . 1 : Activité de l'Etablissement ou du Service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K26"/>
  <sheetViews>
    <sheetView showZeros="0" zoomScale="85" zoomScaleNormal="85" zoomScalePageLayoutView="0" workbookViewId="0" topLeftCell="A1">
      <selection activeCell="E11" sqref="E11"/>
    </sheetView>
  </sheetViews>
  <sheetFormatPr defaultColWidth="11.421875" defaultRowHeight="12.75"/>
  <cols>
    <col min="1" max="1" width="11.421875" style="52" customWidth="1"/>
    <col min="2" max="2" width="55.140625" style="52" customWidth="1"/>
    <col min="3" max="3" width="20.7109375" style="52" customWidth="1"/>
    <col min="4" max="4" width="12.7109375" style="52" customWidth="1"/>
    <col min="5" max="7" width="20.7109375" style="52" customWidth="1"/>
    <col min="8" max="8" width="12.7109375" style="52" customWidth="1"/>
    <col min="9" max="9" width="0.13671875" style="52" customWidth="1"/>
    <col min="10" max="10" width="19.7109375" style="52" hidden="1" customWidth="1"/>
    <col min="11" max="11" width="12.7109375" style="52" hidden="1" customWidth="1"/>
    <col min="12" max="12" width="19.7109375" style="52" customWidth="1"/>
    <col min="13" max="13" width="13.28125" style="52" customWidth="1"/>
    <col min="14" max="14" width="3.57421875" style="52" customWidth="1"/>
    <col min="15" max="16384" width="11.421875" style="52" customWidth="1"/>
  </cols>
  <sheetData>
    <row r="1" spans="1:11" ht="30" customHeight="1">
      <c r="A1" s="849" t="s">
        <v>50</v>
      </c>
      <c r="B1" s="850"/>
      <c r="C1" s="850"/>
      <c r="D1" s="850"/>
      <c r="E1" s="850"/>
      <c r="F1" s="850"/>
      <c r="G1" s="851"/>
      <c r="H1" s="8"/>
      <c r="I1" s="1"/>
      <c r="J1" s="10"/>
      <c r="K1" s="11"/>
    </row>
    <row r="2" spans="1:11" ht="30" customHeight="1" thickBot="1">
      <c r="A2" s="852" t="s">
        <v>38</v>
      </c>
      <c r="B2" s="853"/>
      <c r="C2" s="853"/>
      <c r="D2" s="853"/>
      <c r="E2" s="853"/>
      <c r="F2" s="853"/>
      <c r="G2" s="854"/>
      <c r="H2" s="8"/>
      <c r="I2" s="2"/>
      <c r="J2" s="12"/>
      <c r="K2" s="13"/>
    </row>
    <row r="3" spans="1:7" s="40" customFormat="1" ht="36.75" customHeight="1">
      <c r="A3" s="39" t="s">
        <v>75</v>
      </c>
      <c r="B3" s="46"/>
      <c r="C3" s="46"/>
      <c r="D3" s="46"/>
      <c r="E3" s="46"/>
      <c r="F3" s="46"/>
      <c r="G3" s="46"/>
    </row>
    <row r="4" spans="1:10" s="41" customFormat="1" ht="36.75" customHeight="1">
      <c r="A4" s="47" t="s">
        <v>79</v>
      </c>
      <c r="B4" s="386"/>
      <c r="C4" s="387"/>
      <c r="D4" s="49"/>
      <c r="E4" s="49"/>
      <c r="F4" s="387"/>
      <c r="G4" s="49"/>
      <c r="H4" s="42"/>
      <c r="I4" s="42"/>
      <c r="J4" s="40"/>
    </row>
    <row r="5" spans="1:7" s="42" customFormat="1" ht="24" customHeight="1">
      <c r="A5" s="49"/>
      <c r="B5" s="51"/>
      <c r="C5" s="49"/>
      <c r="D5" s="49"/>
      <c r="E5" s="49"/>
      <c r="F5" s="49"/>
      <c r="G5" s="49"/>
    </row>
    <row r="6" spans="1:10" s="40" customFormat="1" ht="24" customHeight="1">
      <c r="A6" s="46"/>
      <c r="B6" s="49"/>
      <c r="C6" s="49"/>
      <c r="D6" s="49"/>
      <c r="E6" s="49"/>
      <c r="F6" s="49"/>
      <c r="G6" s="49"/>
      <c r="H6" s="42"/>
      <c r="I6" s="42"/>
      <c r="J6" s="42"/>
    </row>
    <row r="7" spans="1:10" s="40" customFormat="1" ht="42" customHeight="1">
      <c r="A7" s="46"/>
      <c r="B7" s="43" t="s">
        <v>76</v>
      </c>
      <c r="C7" s="49"/>
      <c r="D7" s="49"/>
      <c r="E7" s="49"/>
      <c r="F7" s="49"/>
      <c r="G7" s="49"/>
      <c r="H7" s="42"/>
      <c r="I7" s="42"/>
      <c r="J7" s="42"/>
    </row>
    <row r="8" spans="1:11" s="40" customFormat="1" ht="32.25" customHeight="1" thickBot="1">
      <c r="A8" s="46"/>
      <c r="B8" s="43"/>
      <c r="C8" s="44" t="s">
        <v>77</v>
      </c>
      <c r="D8" s="44"/>
      <c r="E8" s="44" t="s">
        <v>52</v>
      </c>
      <c r="F8" s="44" t="s">
        <v>53</v>
      </c>
      <c r="G8" s="44" t="s">
        <v>54</v>
      </c>
      <c r="H8" s="45"/>
      <c r="I8" s="42"/>
      <c r="J8" s="42"/>
      <c r="K8" s="42"/>
    </row>
    <row r="9" spans="2:11" s="46" customFormat="1" ht="24.75" customHeight="1" thickBot="1" thickTop="1">
      <c r="B9" s="392" t="s">
        <v>60</v>
      </c>
      <c r="C9" s="420">
        <f>+E9+F9+G9</f>
        <v>0</v>
      </c>
      <c r="D9" s="307"/>
      <c r="E9" s="522">
        <f>SUM(E11:E22)</f>
        <v>0</v>
      </c>
      <c r="F9" s="523">
        <f>SUM(F11:F22)</f>
        <v>0</v>
      </c>
      <c r="G9" s="420">
        <f>SUM(G11:G22)</f>
        <v>0</v>
      </c>
      <c r="H9" s="47"/>
      <c r="I9" s="47"/>
      <c r="J9" s="47"/>
      <c r="K9" s="47"/>
    </row>
    <row r="10" spans="2:11" s="48" customFormat="1" ht="16.5" customHeight="1" thickBot="1" thickTop="1">
      <c r="B10" s="393"/>
      <c r="C10" s="398"/>
      <c r="D10" s="307"/>
      <c r="E10" s="398"/>
      <c r="F10" s="398"/>
      <c r="G10" s="398"/>
      <c r="H10" s="47"/>
      <c r="I10" s="47"/>
      <c r="J10" s="47"/>
      <c r="K10" s="47"/>
    </row>
    <row r="11" spans="2:11" s="48" customFormat="1" ht="24.75" customHeight="1" thickTop="1">
      <c r="B11" s="389" t="s">
        <v>61</v>
      </c>
      <c r="C11" s="421">
        <f>+E11+F11+G11</f>
        <v>0</v>
      </c>
      <c r="D11" s="308"/>
      <c r="E11" s="726">
        <f>EXTERNATCATBPN</f>
        <v>0</v>
      </c>
      <c r="F11" s="727">
        <f>EXTERNATMASBPN</f>
        <v>0</v>
      </c>
      <c r="G11" s="728">
        <f>EXTERNATFOYBPN</f>
        <v>0</v>
      </c>
      <c r="H11" s="47"/>
      <c r="I11" s="47"/>
      <c r="J11" s="47"/>
      <c r="K11" s="47"/>
    </row>
    <row r="12" spans="2:11" s="48" customFormat="1" ht="24.75" customHeight="1">
      <c r="B12" s="390" t="s">
        <v>62</v>
      </c>
      <c r="C12" s="422">
        <f>+E12+F12+G12</f>
        <v>0</v>
      </c>
      <c r="D12" s="308"/>
      <c r="E12" s="729">
        <f>SEMIINTCATBPN</f>
        <v>0</v>
      </c>
      <c r="F12" s="730">
        <f>SEMIINTMASBPN</f>
        <v>0</v>
      </c>
      <c r="G12" s="731">
        <f>SEMIINTFOYBPN</f>
        <v>0</v>
      </c>
      <c r="H12" s="49"/>
      <c r="I12" s="49"/>
      <c r="J12" s="49"/>
      <c r="K12" s="49"/>
    </row>
    <row r="13" spans="2:11" s="48" customFormat="1" ht="24.75" customHeight="1">
      <c r="B13" s="391" t="s">
        <v>63</v>
      </c>
      <c r="C13" s="423">
        <f>+E13+F13+G13</f>
        <v>0</v>
      </c>
      <c r="D13" s="308"/>
      <c r="E13" s="732">
        <f>INTERNATCATBPN</f>
        <v>0</v>
      </c>
      <c r="F13" s="716">
        <f>INTERNATMASBPN</f>
        <v>0</v>
      </c>
      <c r="G13" s="733">
        <f>INTERNATFOYBPN</f>
        <v>0</v>
      </c>
      <c r="H13" s="49"/>
      <c r="I13" s="49"/>
      <c r="J13" s="49"/>
      <c r="K13" s="49"/>
    </row>
    <row r="14" spans="2:11" s="48" customFormat="1" ht="24.75" customHeight="1">
      <c r="B14" s="782" t="str">
        <f>LIBELLE_AUTRE1</f>
        <v>Autre1</v>
      </c>
      <c r="C14" s="423">
        <f aca="true" t="shared" si="0" ref="C14:C20">+E14+F14+G14</f>
        <v>0</v>
      </c>
      <c r="D14" s="308"/>
      <c r="E14" s="732">
        <f>AAUTRE1CATBPN</f>
        <v>0</v>
      </c>
      <c r="F14" s="716">
        <f>AAUTRE1MASBPN</f>
        <v>0</v>
      </c>
      <c r="G14" s="733">
        <f>AAUTRE1FOYBPN</f>
        <v>0</v>
      </c>
      <c r="H14" s="49"/>
      <c r="I14" s="49"/>
      <c r="J14" s="49"/>
      <c r="K14" s="49"/>
    </row>
    <row r="15" spans="2:11" s="48" customFormat="1" ht="24.75" customHeight="1">
      <c r="B15" s="782" t="str">
        <f>LIBELLE_AUTRE2</f>
        <v>Autre2</v>
      </c>
      <c r="C15" s="423">
        <f t="shared" si="0"/>
        <v>0</v>
      </c>
      <c r="D15" s="308"/>
      <c r="E15" s="732">
        <f>AAUTRE2CATBPN</f>
        <v>0</v>
      </c>
      <c r="F15" s="716">
        <f>AAUTRE2MASBPN</f>
        <v>0</v>
      </c>
      <c r="G15" s="733">
        <f>AAUTRE2FOYBPN</f>
        <v>0</v>
      </c>
      <c r="H15" s="49"/>
      <c r="I15" s="49"/>
      <c r="J15" s="49"/>
      <c r="K15" s="49"/>
    </row>
    <row r="16" spans="2:11" s="48" customFormat="1" ht="24.75" customHeight="1">
      <c r="B16" s="782" t="str">
        <f>LIBELLE_AUTRE3</f>
        <v>Autre1</v>
      </c>
      <c r="C16" s="423">
        <f t="shared" si="0"/>
        <v>0</v>
      </c>
      <c r="D16" s="308"/>
      <c r="E16" s="732">
        <f>AAUTRE3CATBPN</f>
        <v>0</v>
      </c>
      <c r="F16" s="716">
        <f>AAUTRE3MASBPN</f>
        <v>0</v>
      </c>
      <c r="G16" s="733">
        <f>AAUTRE3FOYBPN</f>
        <v>0</v>
      </c>
      <c r="H16" s="49"/>
      <c r="I16" s="49"/>
      <c r="J16" s="49"/>
      <c r="K16" s="49"/>
    </row>
    <row r="17" spans="2:11" s="48" customFormat="1" ht="24.75" customHeight="1">
      <c r="B17" s="782" t="str">
        <f>LIBELLE_AUTRE4</f>
        <v>Autre4</v>
      </c>
      <c r="C17" s="423">
        <f t="shared" si="0"/>
        <v>0</v>
      </c>
      <c r="D17" s="308"/>
      <c r="E17" s="732">
        <f>AAUTRE4CATBPN</f>
        <v>0</v>
      </c>
      <c r="F17" s="716">
        <f>AAUTRE4MASBPN</f>
        <v>0</v>
      </c>
      <c r="G17" s="733">
        <f>AAUTRE4FOYBPN</f>
        <v>0</v>
      </c>
      <c r="H17" s="49"/>
      <c r="I17" s="49"/>
      <c r="J17" s="49"/>
      <c r="K17" s="49"/>
    </row>
    <row r="18" spans="2:11" s="48" customFormat="1" ht="24.75" customHeight="1">
      <c r="B18" s="782" t="str">
        <f>LIBELLE_AUTRE5</f>
        <v>Autre5</v>
      </c>
      <c r="C18" s="423">
        <f t="shared" si="0"/>
        <v>0</v>
      </c>
      <c r="D18" s="308"/>
      <c r="E18" s="732">
        <f>AAUTRE5CATBPN</f>
        <v>0</v>
      </c>
      <c r="F18" s="716">
        <f>AAUTRE5MASBPN</f>
        <v>0</v>
      </c>
      <c r="G18" s="733">
        <f>AAUTRE5FOYBPN</f>
        <v>0</v>
      </c>
      <c r="H18" s="49"/>
      <c r="I18" s="49"/>
      <c r="J18" s="49"/>
      <c r="K18" s="49"/>
    </row>
    <row r="19" spans="2:11" s="48" customFormat="1" ht="24.75" customHeight="1">
      <c r="B19" s="782" t="str">
        <f>LIBELLE_AUTRE6</f>
        <v>Autre6</v>
      </c>
      <c r="C19" s="423">
        <f t="shared" si="0"/>
        <v>0</v>
      </c>
      <c r="D19" s="308"/>
      <c r="E19" s="732">
        <f>AAUTRE6CATBPN</f>
        <v>0</v>
      </c>
      <c r="F19" s="716">
        <f>AAUTRE6MASBPN</f>
        <v>0</v>
      </c>
      <c r="G19" s="733">
        <f>AAUTRE6FOYBPN</f>
        <v>0</v>
      </c>
      <c r="H19" s="49"/>
      <c r="I19" s="49"/>
      <c r="J19" s="49"/>
      <c r="K19" s="49"/>
    </row>
    <row r="20" spans="2:11" s="48" customFormat="1" ht="24.75" customHeight="1">
      <c r="B20" s="782" t="str">
        <f>LIBELLE_AUTRE7</f>
        <v>Autre7</v>
      </c>
      <c r="C20" s="423">
        <f t="shared" si="0"/>
        <v>0</v>
      </c>
      <c r="D20" s="308"/>
      <c r="E20" s="732">
        <f>AAUTRE7CATBPN</f>
        <v>0</v>
      </c>
      <c r="F20" s="716">
        <f>AAUTRE7MASBPN</f>
        <v>0</v>
      </c>
      <c r="G20" s="733">
        <f>AAUTRE7FOYBPN</f>
        <v>0</v>
      </c>
      <c r="H20" s="49"/>
      <c r="I20" s="49"/>
      <c r="J20" s="49"/>
      <c r="K20" s="49"/>
    </row>
    <row r="21" spans="2:11" s="48" customFormat="1" ht="24.75" customHeight="1">
      <c r="B21" s="782" t="str">
        <f>LIBELLE_AUTRE8</f>
        <v>Autre8</v>
      </c>
      <c r="C21" s="423">
        <f>+E21+F21+G21</f>
        <v>0</v>
      </c>
      <c r="D21" s="308"/>
      <c r="E21" s="732">
        <f>AAUTRE8CATBPN</f>
        <v>0</v>
      </c>
      <c r="F21" s="716">
        <f>AAUTRE8MASBPN</f>
        <v>0</v>
      </c>
      <c r="G21" s="733">
        <f>AAUTRE8FOYBPN</f>
        <v>0</v>
      </c>
      <c r="H21" s="49"/>
      <c r="I21" s="49"/>
      <c r="J21" s="49"/>
      <c r="K21" s="49"/>
    </row>
    <row r="22" spans="2:10" s="48" customFormat="1" ht="24" customHeight="1" thickBot="1">
      <c r="B22" s="783" t="str">
        <f>LIBELLE_AUTRE9</f>
        <v>Autre9</v>
      </c>
      <c r="C22" s="424">
        <f>+E22+F22+G22</f>
        <v>0</v>
      </c>
      <c r="D22" s="308"/>
      <c r="E22" s="734">
        <f>AAUTRE9CATBPN</f>
        <v>0</v>
      </c>
      <c r="F22" s="735">
        <f>AAUTRE9MASBPN</f>
        <v>0</v>
      </c>
      <c r="G22" s="736">
        <f>AAUTRE9FOYBPN</f>
        <v>0</v>
      </c>
      <c r="H22" s="51"/>
      <c r="I22" s="51"/>
      <c r="J22" s="51"/>
    </row>
    <row r="23" spans="3:10" s="48" customFormat="1" ht="19.5" thickTop="1">
      <c r="C23" s="51"/>
      <c r="D23" s="51"/>
      <c r="E23" s="51"/>
      <c r="F23" s="51"/>
      <c r="G23" s="51"/>
      <c r="H23" s="51"/>
      <c r="I23" s="51"/>
      <c r="J23" s="51"/>
    </row>
    <row r="24" spans="2:10" s="48" customFormat="1" ht="18.75">
      <c r="B24" s="50" t="s">
        <v>3</v>
      </c>
      <c r="C24" s="51"/>
      <c r="D24" s="51"/>
      <c r="E24" s="51"/>
      <c r="F24" s="51"/>
      <c r="G24" s="51"/>
      <c r="H24" s="46"/>
      <c r="I24" s="46"/>
      <c r="J24" s="46"/>
    </row>
    <row r="25" spans="2:7" s="48" customFormat="1" ht="18.75">
      <c r="B25" s="50" t="s">
        <v>4</v>
      </c>
      <c r="C25" s="46"/>
      <c r="D25" s="46"/>
      <c r="E25" s="46"/>
      <c r="F25" s="46"/>
      <c r="G25" s="46"/>
    </row>
    <row r="26" spans="2:7" ht="18.75">
      <c r="B26" s="50"/>
      <c r="C26" s="48"/>
      <c r="D26" s="48"/>
      <c r="E26" s="48"/>
      <c r="F26" s="48"/>
      <c r="G26" s="48"/>
    </row>
  </sheetData>
  <sheetProtection password="B34F" sheet="1" formatCells="0" formatColumns="0" formatRows="0"/>
  <mergeCells count="2">
    <mergeCell ref="A1:G1"/>
    <mergeCell ref="A2:G2"/>
  </mergeCells>
  <printOptions horizontalCentered="1" verticalCentered="1"/>
  <pageMargins left="0.3937007874015748" right="0.3937007874015748" top="0.7480314960629921" bottom="0.5905511811023623" header="0.3937007874015748" footer="0"/>
  <pageSetup firstPageNumber="3" useFirstPageNumber="1" fitToHeight="1" fitToWidth="1" horizontalDpi="600" verticalDpi="600" orientation="landscape" paperSize="9" scale="79" r:id="rId2"/>
  <headerFooter alignWithMargins="0">
    <oddHeader>&amp;L&amp;"Arial,Gras"&amp;14ANNEXE 1-1 . 2 : Activité de l'Etablissement ou du Service - Accueil des plus de 20 ans dans les IME (&amp;10Instituts Médico-Educatifs)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M131"/>
  <sheetViews>
    <sheetView showZeros="0" zoomScale="70" zoomScaleNormal="70" zoomScaleSheetLayoutView="50" zoomScalePageLayoutView="0" workbookViewId="0" topLeftCell="A1">
      <selection activeCell="D11" sqref="D11"/>
    </sheetView>
  </sheetViews>
  <sheetFormatPr defaultColWidth="11.421875" defaultRowHeight="12.75"/>
  <cols>
    <col min="1" max="1" width="12.00390625" style="53" customWidth="1"/>
    <col min="2" max="2" width="0.9921875" style="54" customWidth="1"/>
    <col min="3" max="3" width="79.57421875" style="57" customWidth="1"/>
    <col min="4" max="4" width="19.7109375" style="491" customWidth="1"/>
    <col min="5" max="5" width="18.7109375" style="491" customWidth="1"/>
    <col min="6" max="6" width="19.57421875" style="491" customWidth="1"/>
    <col min="7" max="7" width="17.421875" style="491" customWidth="1"/>
    <col min="8" max="8" width="20.140625" style="491" customWidth="1"/>
    <col min="9" max="9" width="17.140625" style="491" customWidth="1"/>
    <col min="10" max="10" width="17.8515625" style="491" customWidth="1"/>
    <col min="11" max="12" width="11.421875" style="56" customWidth="1"/>
    <col min="13" max="13" width="21.8515625" style="56" bestFit="1" customWidth="1"/>
    <col min="14" max="16384" width="11.421875" style="56" customWidth="1"/>
  </cols>
  <sheetData>
    <row r="1" spans="1:10" ht="19.5">
      <c r="A1" s="356"/>
      <c r="B1" s="357"/>
      <c r="C1" s="55"/>
      <c r="D1" s="443"/>
      <c r="E1" s="443"/>
      <c r="F1" s="443"/>
      <c r="G1" s="443"/>
      <c r="H1" s="443"/>
      <c r="I1" s="443"/>
      <c r="J1" s="443"/>
    </row>
    <row r="2" spans="1:10" ht="27" thickBot="1">
      <c r="A2" s="356"/>
      <c r="B2" s="357"/>
      <c r="C2" s="359"/>
      <c r="D2" s="443"/>
      <c r="E2" s="443"/>
      <c r="F2" s="443"/>
      <c r="G2" s="443"/>
      <c r="H2" s="443"/>
      <c r="I2" s="443"/>
      <c r="J2" s="443"/>
    </row>
    <row r="3" spans="1:13" ht="23.25">
      <c r="A3" s="855" t="s">
        <v>50</v>
      </c>
      <c r="B3" s="856"/>
      <c r="C3" s="856"/>
      <c r="D3" s="856"/>
      <c r="E3" s="856"/>
      <c r="F3" s="856"/>
      <c r="G3" s="856"/>
      <c r="H3" s="856"/>
      <c r="I3" s="856"/>
      <c r="J3" s="857"/>
      <c r="K3" s="58"/>
      <c r="L3" s="58"/>
      <c r="M3" s="58"/>
    </row>
    <row r="4" spans="1:13" ht="24" thickBot="1">
      <c r="A4" s="858" t="s">
        <v>38</v>
      </c>
      <c r="B4" s="859"/>
      <c r="C4" s="859"/>
      <c r="D4" s="859"/>
      <c r="E4" s="859"/>
      <c r="F4" s="859"/>
      <c r="G4" s="859"/>
      <c r="H4" s="859"/>
      <c r="I4" s="859"/>
      <c r="J4" s="860"/>
      <c r="K4" s="58"/>
      <c r="L4" s="58"/>
      <c r="M4" s="58"/>
    </row>
    <row r="5" spans="1:13" ht="26.25">
      <c r="A5" s="350"/>
      <c r="B5" s="351"/>
      <c r="C5" s="352"/>
      <c r="D5" s="444"/>
      <c r="E5" s="444"/>
      <c r="F5" s="444"/>
      <c r="G5" s="444"/>
      <c r="H5" s="444"/>
      <c r="I5" s="444"/>
      <c r="J5" s="444"/>
      <c r="K5" s="58"/>
      <c r="L5" s="58"/>
      <c r="M5" s="58"/>
    </row>
    <row r="6" spans="1:13" ht="26.25">
      <c r="A6" s="350"/>
      <c r="B6" s="351"/>
      <c r="C6" s="352"/>
      <c r="D6" s="444"/>
      <c r="E6" s="444"/>
      <c r="F6" s="444"/>
      <c r="G6" s="444"/>
      <c r="H6" s="444"/>
      <c r="I6" s="444"/>
      <c r="J6" s="444"/>
      <c r="K6" s="58"/>
      <c r="L6" s="58"/>
      <c r="M6" s="58"/>
    </row>
    <row r="7" spans="1:10" s="61" customFormat="1" ht="27" customHeight="1">
      <c r="A7" s="59"/>
      <c r="B7" s="60"/>
      <c r="D7" s="445"/>
      <c r="E7" s="445"/>
      <c r="F7" s="445"/>
      <c r="G7" s="445"/>
      <c r="H7" s="445"/>
      <c r="I7" s="446"/>
      <c r="J7" s="446"/>
    </row>
    <row r="8" spans="1:10" s="64" customFormat="1" ht="48.75" customHeight="1">
      <c r="A8" s="63"/>
      <c r="B8" s="795"/>
      <c r="C8" s="796" t="s">
        <v>380</v>
      </c>
      <c r="D8" s="445"/>
      <c r="E8" s="445"/>
      <c r="F8" s="445"/>
      <c r="G8" s="445"/>
      <c r="H8" s="445"/>
      <c r="I8" s="446"/>
      <c r="J8" s="446"/>
    </row>
    <row r="9" spans="1:10" s="64" customFormat="1" ht="30.75" customHeight="1">
      <c r="A9" s="65"/>
      <c r="B9" s="66"/>
      <c r="C9" s="67"/>
      <c r="D9" s="445"/>
      <c r="E9" s="445"/>
      <c r="F9" s="445"/>
      <c r="G9" s="445"/>
      <c r="H9" s="445"/>
      <c r="I9" s="447"/>
      <c r="J9" s="447"/>
    </row>
    <row r="10" spans="1:10" s="72" customFormat="1" ht="25.5" customHeight="1">
      <c r="A10" s="69" t="s">
        <v>80</v>
      </c>
      <c r="B10" s="70"/>
      <c r="C10" s="71"/>
      <c r="D10" s="448" t="s">
        <v>52</v>
      </c>
      <c r="E10" s="448" t="s">
        <v>53</v>
      </c>
      <c r="F10" s="448" t="s">
        <v>54</v>
      </c>
      <c r="G10" s="448" t="s">
        <v>81</v>
      </c>
      <c r="H10" s="448" t="s">
        <v>82</v>
      </c>
      <c r="I10" s="448" t="s">
        <v>57</v>
      </c>
      <c r="J10" s="449" t="s">
        <v>58</v>
      </c>
    </row>
    <row r="11" spans="1:11" s="77" customFormat="1" ht="20.25">
      <c r="A11" s="309">
        <v>601</v>
      </c>
      <c r="B11" s="74"/>
      <c r="C11" s="75" t="s">
        <v>83</v>
      </c>
      <c r="D11" s="724">
        <f>C_601_CARN2</f>
        <v>0</v>
      </c>
      <c r="E11" s="724">
        <f>C_601_BEXN1</f>
        <v>0</v>
      </c>
      <c r="F11" s="545">
        <f>C_601_BPPN0-G11</f>
        <v>0</v>
      </c>
      <c r="G11" s="545">
        <f>C_601_MSNN0</f>
        <v>0</v>
      </c>
      <c r="H11" s="450">
        <f>F11+G11</f>
        <v>0</v>
      </c>
      <c r="I11" s="524"/>
      <c r="J11" s="545">
        <f>C_601_BEXN0</f>
        <v>0</v>
      </c>
      <c r="K11" s="76"/>
    </row>
    <row r="12" spans="1:10" s="79" customFormat="1" ht="20.25">
      <c r="A12" s="310">
        <v>602</v>
      </c>
      <c r="B12" s="78"/>
      <c r="C12" s="75" t="s">
        <v>84</v>
      </c>
      <c r="D12" s="724">
        <f>C_602_CARN2</f>
        <v>0</v>
      </c>
      <c r="E12" s="724">
        <f>C_602_BEXN1</f>
        <v>0</v>
      </c>
      <c r="F12" s="545">
        <f>C_602_BPPN0-G12</f>
        <v>0</v>
      </c>
      <c r="G12" s="545">
        <f>C_602_MSNN0</f>
        <v>0</v>
      </c>
      <c r="H12" s="450">
        <f aca="true" t="shared" si="0" ref="H12:H17">F12+G12</f>
        <v>0</v>
      </c>
      <c r="I12" s="525"/>
      <c r="J12" s="545">
        <f>C_602_BEXN0</f>
        <v>0</v>
      </c>
    </row>
    <row r="13" spans="1:10" s="77" customFormat="1" ht="20.25">
      <c r="A13" s="309">
        <v>603</v>
      </c>
      <c r="B13" s="74"/>
      <c r="C13" s="75" t="s">
        <v>85</v>
      </c>
      <c r="D13" s="724">
        <f>C_603_CARN2</f>
        <v>0</v>
      </c>
      <c r="E13" s="724">
        <f>C_603_BEXN1</f>
        <v>0</v>
      </c>
      <c r="F13" s="545">
        <f>C_603_BPPN0-G13</f>
        <v>0</v>
      </c>
      <c r="G13" s="545">
        <f>C_603_MSNN0</f>
        <v>0</v>
      </c>
      <c r="H13" s="450">
        <f t="shared" si="0"/>
        <v>0</v>
      </c>
      <c r="I13" s="525"/>
      <c r="J13" s="545">
        <f>C_603_BEXN0</f>
        <v>0</v>
      </c>
    </row>
    <row r="14" spans="1:10" s="77" customFormat="1" ht="20.25">
      <c r="A14" s="309">
        <v>606</v>
      </c>
      <c r="B14" s="74"/>
      <c r="C14" s="75" t="s">
        <v>86</v>
      </c>
      <c r="D14" s="724">
        <f>C_606_CARN2</f>
        <v>0</v>
      </c>
      <c r="E14" s="724">
        <f>C_606_BEXN1</f>
        <v>0</v>
      </c>
      <c r="F14" s="545">
        <f>C_606_BPPN0-G14</f>
        <v>0</v>
      </c>
      <c r="G14" s="545">
        <f>C_606_MSNN0</f>
        <v>0</v>
      </c>
      <c r="H14" s="450">
        <f t="shared" si="0"/>
        <v>0</v>
      </c>
      <c r="I14" s="525"/>
      <c r="J14" s="545">
        <f>C_606_BEXN0</f>
        <v>0</v>
      </c>
    </row>
    <row r="15" spans="1:10" s="77" customFormat="1" ht="20.25">
      <c r="A15" s="309">
        <v>607</v>
      </c>
      <c r="B15" s="74"/>
      <c r="C15" s="75" t="s">
        <v>87</v>
      </c>
      <c r="D15" s="724">
        <f>C_607_CARN2</f>
        <v>0</v>
      </c>
      <c r="E15" s="724">
        <f>C_607_BEXN1</f>
        <v>0</v>
      </c>
      <c r="F15" s="545">
        <f>C_607_BPPN0-G15</f>
        <v>0</v>
      </c>
      <c r="G15" s="545">
        <f>C_607_MSNN0</f>
        <v>0</v>
      </c>
      <c r="H15" s="450">
        <f t="shared" si="0"/>
        <v>0</v>
      </c>
      <c r="I15" s="525"/>
      <c r="J15" s="545">
        <f>C_607_BEXN0</f>
        <v>0</v>
      </c>
    </row>
    <row r="16" spans="1:13" s="77" customFormat="1" ht="20.25">
      <c r="A16" s="309">
        <v>709</v>
      </c>
      <c r="B16" s="74" t="s">
        <v>88</v>
      </c>
      <c r="C16" s="75" t="s">
        <v>89</v>
      </c>
      <c r="D16" s="724">
        <f>C_709_CARN2</f>
        <v>0</v>
      </c>
      <c r="E16" s="724">
        <f>C_709_BEXN1</f>
        <v>0</v>
      </c>
      <c r="F16" s="545">
        <f>C_709_BPPN0-G16</f>
        <v>0</v>
      </c>
      <c r="G16" s="545">
        <f>C_709_MSNN0</f>
        <v>0</v>
      </c>
      <c r="H16" s="450">
        <f t="shared" si="0"/>
        <v>0</v>
      </c>
      <c r="I16" s="525"/>
      <c r="J16" s="545">
        <f>C_709_BEXN0</f>
        <v>0</v>
      </c>
      <c r="M16" s="395"/>
    </row>
    <row r="17" spans="1:10" s="77" customFormat="1" ht="20.25">
      <c r="A17" s="309">
        <v>713</v>
      </c>
      <c r="B17" s="74"/>
      <c r="C17" s="75" t="s">
        <v>90</v>
      </c>
      <c r="D17" s="724">
        <f>C_713_CARN2</f>
        <v>0</v>
      </c>
      <c r="E17" s="724">
        <f>C_713_BEXN1</f>
        <v>0</v>
      </c>
      <c r="F17" s="545">
        <f>C_713_BPPN0-G17</f>
        <v>0</v>
      </c>
      <c r="G17" s="545">
        <f>C_713_MSNN0</f>
        <v>0</v>
      </c>
      <c r="H17" s="450">
        <f t="shared" si="0"/>
        <v>0</v>
      </c>
      <c r="I17" s="525"/>
      <c r="J17" s="545">
        <f>C_713_BEXN0</f>
        <v>0</v>
      </c>
    </row>
    <row r="18" spans="1:13" s="77" customFormat="1" ht="16.5" customHeight="1">
      <c r="A18" s="73"/>
      <c r="B18" s="80"/>
      <c r="C18" s="81"/>
      <c r="D18" s="451"/>
      <c r="E18" s="452"/>
      <c r="F18" s="452"/>
      <c r="G18" s="451"/>
      <c r="H18" s="453"/>
      <c r="I18" s="526"/>
      <c r="J18" s="452"/>
      <c r="M18" s="395"/>
    </row>
    <row r="19" spans="1:10" s="76" customFormat="1" ht="25.5" customHeight="1">
      <c r="A19" s="69" t="s">
        <v>91</v>
      </c>
      <c r="B19" s="82"/>
      <c r="C19" s="83"/>
      <c r="D19" s="454"/>
      <c r="E19" s="452"/>
      <c r="F19" s="452"/>
      <c r="G19" s="452"/>
      <c r="H19" s="455"/>
      <c r="I19" s="526"/>
      <c r="J19" s="456"/>
    </row>
    <row r="20" spans="1:10" s="86" customFormat="1" ht="20.25">
      <c r="A20" s="309">
        <v>6111</v>
      </c>
      <c r="B20" s="84"/>
      <c r="C20" s="85" t="s">
        <v>92</v>
      </c>
      <c r="D20" s="724">
        <f>C_6111_CARN2</f>
        <v>0</v>
      </c>
      <c r="E20" s="724">
        <f>C_6111_BEXN1</f>
        <v>0</v>
      </c>
      <c r="F20" s="545">
        <f>C_6111_BPPN0-G20</f>
        <v>0</v>
      </c>
      <c r="G20" s="545">
        <f>C_6111_MSNN0</f>
        <v>0</v>
      </c>
      <c r="H20" s="450">
        <f>F20+G20</f>
        <v>0</v>
      </c>
      <c r="I20" s="525"/>
      <c r="J20" s="545">
        <f>C_6111_BEXN0</f>
        <v>0</v>
      </c>
    </row>
    <row r="21" spans="1:13" s="88" customFormat="1" ht="20.25">
      <c r="A21" s="309">
        <v>6112</v>
      </c>
      <c r="B21" s="74"/>
      <c r="C21" s="87" t="s">
        <v>93</v>
      </c>
      <c r="D21" s="724">
        <f>C_6112_CARN2</f>
        <v>0</v>
      </c>
      <c r="E21" s="724">
        <f>C_6112_BEXN1</f>
        <v>0</v>
      </c>
      <c r="F21" s="545">
        <f>C_6112_BPPN0-G21</f>
        <v>0</v>
      </c>
      <c r="G21" s="545">
        <f>C_6112_MSNN0</f>
        <v>0</v>
      </c>
      <c r="H21" s="450">
        <f>F21+G21</f>
        <v>0</v>
      </c>
      <c r="I21" s="525"/>
      <c r="J21" s="545">
        <f>C_6112_BEXN0</f>
        <v>0</v>
      </c>
      <c r="M21" s="396"/>
    </row>
    <row r="22" spans="1:13" s="88" customFormat="1" ht="20.25">
      <c r="A22" s="309">
        <v>6118</v>
      </c>
      <c r="B22" s="74"/>
      <c r="C22" s="87" t="s">
        <v>231</v>
      </c>
      <c r="D22" s="724">
        <f>C_6118_CARN2</f>
        <v>0</v>
      </c>
      <c r="E22" s="724">
        <f>C_6118_BEXN1</f>
        <v>0</v>
      </c>
      <c r="F22" s="545">
        <f>C_6118_BPPN0-G22</f>
        <v>0</v>
      </c>
      <c r="G22" s="545">
        <f>C_6118_MSNN0</f>
        <v>0</v>
      </c>
      <c r="H22" s="450">
        <f>F22+G22</f>
        <v>0</v>
      </c>
      <c r="I22" s="525"/>
      <c r="J22" s="545">
        <f>C_6118_BEXN0</f>
        <v>0</v>
      </c>
      <c r="M22" s="396"/>
    </row>
    <row r="23" spans="1:10" s="91" customFormat="1" ht="16.5" customHeight="1">
      <c r="A23" s="89" t="s">
        <v>88</v>
      </c>
      <c r="B23" s="80"/>
      <c r="C23" s="90" t="s">
        <v>88</v>
      </c>
      <c r="D23" s="452"/>
      <c r="E23" s="452"/>
      <c r="F23" s="452"/>
      <c r="G23" s="452"/>
      <c r="H23" s="453"/>
      <c r="I23" s="526"/>
      <c r="J23" s="452"/>
    </row>
    <row r="24" spans="1:10" s="95" customFormat="1" ht="21.75" customHeight="1">
      <c r="A24" s="92" t="s">
        <v>94</v>
      </c>
      <c r="B24" s="93"/>
      <c r="C24" s="94"/>
      <c r="D24" s="457"/>
      <c r="E24" s="457"/>
      <c r="F24" s="457"/>
      <c r="G24" s="457"/>
      <c r="H24" s="455"/>
      <c r="I24" s="526"/>
      <c r="J24" s="454"/>
    </row>
    <row r="25" spans="1:10" s="98" customFormat="1" ht="20.25">
      <c r="A25" s="311">
        <v>6241</v>
      </c>
      <c r="B25" s="96"/>
      <c r="C25" s="97" t="s">
        <v>95</v>
      </c>
      <c r="D25" s="724">
        <f>C_6241_CARN2</f>
        <v>0</v>
      </c>
      <c r="E25" s="724">
        <f>C_6241_BEXN1</f>
        <v>0</v>
      </c>
      <c r="F25" s="545">
        <f>C_6241_BPPN0-G25</f>
        <v>0</v>
      </c>
      <c r="G25" s="545">
        <f>C_6241_MSNN0</f>
        <v>0</v>
      </c>
      <c r="H25" s="450">
        <f aca="true" t="shared" si="1" ref="H25:H36">F25+G25</f>
        <v>0</v>
      </c>
      <c r="I25" s="525"/>
      <c r="J25" s="545">
        <f>C_6241_BEXN0</f>
        <v>0</v>
      </c>
    </row>
    <row r="26" spans="1:10" s="99" customFormat="1" ht="19.5">
      <c r="A26" s="312" t="s">
        <v>96</v>
      </c>
      <c r="B26" s="96"/>
      <c r="C26" s="97" t="s">
        <v>97</v>
      </c>
      <c r="D26" s="724">
        <f>C_6242_CARN2</f>
        <v>0</v>
      </c>
      <c r="E26" s="724">
        <f>C_6242_BEXN1</f>
        <v>0</v>
      </c>
      <c r="F26" s="545">
        <f>C_6242_BPPN0-G26</f>
        <v>0</v>
      </c>
      <c r="G26" s="545">
        <f>C_6242_MSNN0</f>
        <v>0</v>
      </c>
      <c r="H26" s="450">
        <f t="shared" si="1"/>
        <v>0</v>
      </c>
      <c r="I26" s="525"/>
      <c r="J26" s="545">
        <f>C_6242_BEXN0</f>
        <v>0</v>
      </c>
    </row>
    <row r="27" spans="1:13" s="99" customFormat="1" ht="19.5">
      <c r="A27" s="311">
        <v>6247</v>
      </c>
      <c r="B27" s="96"/>
      <c r="C27" s="97" t="s">
        <v>98</v>
      </c>
      <c r="D27" s="724">
        <f>C_6247_CARN2</f>
        <v>0</v>
      </c>
      <c r="E27" s="724">
        <f>C_6247_BEXN1</f>
        <v>0</v>
      </c>
      <c r="F27" s="545">
        <f>C_6247_BPPN0-G27</f>
        <v>0</v>
      </c>
      <c r="G27" s="545">
        <f>C_6247_MSNN0</f>
        <v>0</v>
      </c>
      <c r="H27" s="450">
        <f t="shared" si="1"/>
        <v>0</v>
      </c>
      <c r="I27" s="525"/>
      <c r="J27" s="545">
        <f>C_6247_BEXN0</f>
        <v>0</v>
      </c>
      <c r="M27" s="397"/>
    </row>
    <row r="28" spans="1:10" s="99" customFormat="1" ht="19.5">
      <c r="A28" s="311">
        <v>6248</v>
      </c>
      <c r="B28" s="96"/>
      <c r="C28" s="97" t="s">
        <v>99</v>
      </c>
      <c r="D28" s="724">
        <f>C_6248_CARN2</f>
        <v>0</v>
      </c>
      <c r="E28" s="724">
        <f>C_6248_BEXN1</f>
        <v>0</v>
      </c>
      <c r="F28" s="545">
        <f>C_6248_BPPN0-G28</f>
        <v>0</v>
      </c>
      <c r="G28" s="545">
        <f>C_6248_MSNN0</f>
        <v>0</v>
      </c>
      <c r="H28" s="450">
        <f t="shared" si="1"/>
        <v>0</v>
      </c>
      <c r="I28" s="525"/>
      <c r="J28" s="545">
        <f>C_6248_BEXN0</f>
        <v>0</v>
      </c>
    </row>
    <row r="29" spans="1:10" s="99" customFormat="1" ht="19.5">
      <c r="A29" s="311">
        <v>625</v>
      </c>
      <c r="B29" s="96"/>
      <c r="C29" s="97" t="s">
        <v>100</v>
      </c>
      <c r="D29" s="724">
        <f>C_625_CARN2</f>
        <v>0</v>
      </c>
      <c r="E29" s="724">
        <f>C_625_BEXN1</f>
        <v>0</v>
      </c>
      <c r="F29" s="545">
        <f>C_625_BPPN0-G29</f>
        <v>0</v>
      </c>
      <c r="G29" s="545">
        <f>C_625_MSNN0</f>
        <v>0</v>
      </c>
      <c r="H29" s="450">
        <f t="shared" si="1"/>
        <v>0</v>
      </c>
      <c r="I29" s="525"/>
      <c r="J29" s="545">
        <f>C_625_BEXN0</f>
        <v>0</v>
      </c>
    </row>
    <row r="30" spans="1:10" s="99" customFormat="1" ht="19.5">
      <c r="A30" s="311">
        <v>626</v>
      </c>
      <c r="B30" s="96"/>
      <c r="C30" s="97" t="s">
        <v>101</v>
      </c>
      <c r="D30" s="724">
        <f>C_626_CARN2</f>
        <v>0</v>
      </c>
      <c r="E30" s="724">
        <f>C_626_BEXN1</f>
        <v>0</v>
      </c>
      <c r="F30" s="545">
        <f>C_626_BPPN0-G30</f>
        <v>0</v>
      </c>
      <c r="G30" s="545">
        <f>C_626_MSNN0</f>
        <v>0</v>
      </c>
      <c r="H30" s="450">
        <f t="shared" si="1"/>
        <v>0</v>
      </c>
      <c r="I30" s="525"/>
      <c r="J30" s="545">
        <f>C_626_BEXN0</f>
        <v>0</v>
      </c>
    </row>
    <row r="31" spans="1:10" s="99" customFormat="1" ht="19.5">
      <c r="A31" s="311">
        <v>6281</v>
      </c>
      <c r="B31" s="96"/>
      <c r="C31" s="97" t="s">
        <v>102</v>
      </c>
      <c r="D31" s="724">
        <f>C_6281_CARN2</f>
        <v>0</v>
      </c>
      <c r="E31" s="724">
        <f>C_6281_BEXN1</f>
        <v>0</v>
      </c>
      <c r="F31" s="545">
        <f>C_6281_BPPN0-G31</f>
        <v>0</v>
      </c>
      <c r="G31" s="545">
        <f>C_6281_MSNN0</f>
        <v>0</v>
      </c>
      <c r="H31" s="450">
        <f t="shared" si="1"/>
        <v>0</v>
      </c>
      <c r="I31" s="525"/>
      <c r="J31" s="545">
        <f>C_6281_BEXN0</f>
        <v>0</v>
      </c>
    </row>
    <row r="32" spans="1:10" s="99" customFormat="1" ht="19.5">
      <c r="A32" s="311">
        <v>6282</v>
      </c>
      <c r="B32" s="96"/>
      <c r="C32" s="97" t="s">
        <v>103</v>
      </c>
      <c r="D32" s="724">
        <f>C_6282_CARN2</f>
        <v>0</v>
      </c>
      <c r="E32" s="724">
        <f>C_6282_BEXN1</f>
        <v>0</v>
      </c>
      <c r="F32" s="545">
        <f>C_6282_BPPN0-G32</f>
        <v>0</v>
      </c>
      <c r="G32" s="545">
        <f>C_6282_MSNN0</f>
        <v>0</v>
      </c>
      <c r="H32" s="450">
        <f t="shared" si="1"/>
        <v>0</v>
      </c>
      <c r="I32" s="525"/>
      <c r="J32" s="545">
        <f>C_6282_BEXN0</f>
        <v>0</v>
      </c>
    </row>
    <row r="33" spans="1:10" s="99" customFormat="1" ht="19.5">
      <c r="A33" s="311">
        <v>6283</v>
      </c>
      <c r="B33" s="96"/>
      <c r="C33" s="97" t="s">
        <v>104</v>
      </c>
      <c r="D33" s="724">
        <f>C_6283_CARN2</f>
        <v>0</v>
      </c>
      <c r="E33" s="724">
        <f>C_6283_BEXN1</f>
        <v>0</v>
      </c>
      <c r="F33" s="545">
        <f>C_6283_BPPN0-G33</f>
        <v>0</v>
      </c>
      <c r="G33" s="545">
        <f>C_6283_MSNN0</f>
        <v>0</v>
      </c>
      <c r="H33" s="450">
        <f t="shared" si="1"/>
        <v>0</v>
      </c>
      <c r="I33" s="525"/>
      <c r="J33" s="545">
        <f>C_6283_BEXN0</f>
        <v>0</v>
      </c>
    </row>
    <row r="34" spans="1:10" s="99" customFormat="1" ht="19.5">
      <c r="A34" s="311">
        <v>6284</v>
      </c>
      <c r="B34" s="96"/>
      <c r="C34" s="97" t="s">
        <v>105</v>
      </c>
      <c r="D34" s="724">
        <f>C_6284_CARN2</f>
        <v>0</v>
      </c>
      <c r="E34" s="724">
        <f>C_6284_BEXN1</f>
        <v>0</v>
      </c>
      <c r="F34" s="545">
        <f>C_6284_BPPN0-G34</f>
        <v>0</v>
      </c>
      <c r="G34" s="545">
        <f>C_6284_MSNN0</f>
        <v>0</v>
      </c>
      <c r="H34" s="450">
        <f t="shared" si="1"/>
        <v>0</v>
      </c>
      <c r="I34" s="525"/>
      <c r="J34" s="545">
        <f>C_6284_BEXN0</f>
        <v>0</v>
      </c>
    </row>
    <row r="35" spans="1:10" s="99" customFormat="1" ht="19.5">
      <c r="A35" s="311">
        <v>6287</v>
      </c>
      <c r="B35" s="96"/>
      <c r="C35" s="97" t="s">
        <v>108</v>
      </c>
      <c r="D35" s="724">
        <f>C_6287_CARN2</f>
        <v>0</v>
      </c>
      <c r="E35" s="724">
        <f>C_6287_BEXN1</f>
        <v>0</v>
      </c>
      <c r="F35" s="545">
        <f>C_6287_BPPN0-G35</f>
        <v>0</v>
      </c>
      <c r="G35" s="545">
        <f>C_6287_MSNN0</f>
        <v>0</v>
      </c>
      <c r="H35" s="450">
        <f t="shared" si="1"/>
        <v>0</v>
      </c>
      <c r="I35" s="525"/>
      <c r="J35" s="545">
        <f>C_6287_BEXN0</f>
        <v>0</v>
      </c>
    </row>
    <row r="36" spans="1:10" s="100" customFormat="1" ht="20.25">
      <c r="A36" s="311">
        <v>6288</v>
      </c>
      <c r="B36" s="96"/>
      <c r="C36" s="97" t="s">
        <v>109</v>
      </c>
      <c r="D36" s="724">
        <f>C_6288_CARN2</f>
        <v>0</v>
      </c>
      <c r="E36" s="724">
        <f>C_6288_BEXN1</f>
        <v>0</v>
      </c>
      <c r="F36" s="545">
        <f>C_6288_BPPN0-G36</f>
        <v>0</v>
      </c>
      <c r="G36" s="545">
        <f>C_6288_MSNN0</f>
        <v>0</v>
      </c>
      <c r="H36" s="450">
        <f t="shared" si="1"/>
        <v>0</v>
      </c>
      <c r="I36" s="527"/>
      <c r="J36" s="545">
        <f>C_6288_BEXN0</f>
        <v>0</v>
      </c>
    </row>
    <row r="37" spans="1:12" s="102" customFormat="1" ht="12.75" customHeight="1" thickBot="1">
      <c r="A37" s="360"/>
      <c r="B37" s="361"/>
      <c r="C37" s="362"/>
      <c r="D37" s="458"/>
      <c r="E37" s="458"/>
      <c r="F37" s="458"/>
      <c r="G37" s="458"/>
      <c r="H37" s="459"/>
      <c r="I37" s="460"/>
      <c r="J37" s="363"/>
      <c r="K37" s="101"/>
      <c r="L37" s="101"/>
    </row>
    <row r="38" spans="1:10" s="100" customFormat="1" ht="24" customHeight="1" thickBot="1" thickTop="1">
      <c r="A38" s="364"/>
      <c r="B38" s="797" t="s">
        <v>110</v>
      </c>
      <c r="C38" s="798"/>
      <c r="D38" s="425">
        <f>SUM(D11:D17,D20:D22,D25:D36)</f>
        <v>0</v>
      </c>
      <c r="E38" s="425">
        <f aca="true" t="shared" si="2" ref="E38:J38">SUM(E11:E17,E20:E22,E25:E36)</f>
        <v>0</v>
      </c>
      <c r="F38" s="425">
        <f t="shared" si="2"/>
        <v>0</v>
      </c>
      <c r="G38" s="425">
        <f t="shared" si="2"/>
        <v>0</v>
      </c>
      <c r="H38" s="425">
        <f>F38+G38</f>
        <v>0</v>
      </c>
      <c r="I38" s="546">
        <f>FGROUPE1_Budgetret</f>
        <v>0</v>
      </c>
      <c r="J38" s="426">
        <f t="shared" si="2"/>
        <v>0</v>
      </c>
    </row>
    <row r="39" spans="1:10" s="100" customFormat="1" ht="24" customHeight="1" thickTop="1">
      <c r="A39" s="364"/>
      <c r="B39" s="365"/>
      <c r="C39" s="366"/>
      <c r="D39" s="519"/>
      <c r="E39" s="461"/>
      <c r="F39" s="461"/>
      <c r="G39" s="461"/>
      <c r="H39" s="462"/>
      <c r="I39" s="461"/>
      <c r="J39" s="461"/>
    </row>
    <row r="40" spans="1:10" s="100" customFormat="1" ht="24" customHeight="1">
      <c r="A40" s="364"/>
      <c r="B40" s="365"/>
      <c r="C40" s="366"/>
      <c r="D40" s="461"/>
      <c r="E40" s="461"/>
      <c r="F40" s="461"/>
      <c r="G40" s="461"/>
      <c r="H40" s="462"/>
      <c r="I40" s="461"/>
      <c r="J40" s="461"/>
    </row>
    <row r="41" spans="1:10" s="100" customFormat="1" ht="21" customHeight="1">
      <c r="A41" s="364"/>
      <c r="B41" s="365"/>
      <c r="C41" s="366"/>
      <c r="D41" s="461"/>
      <c r="E41" s="461"/>
      <c r="F41" s="461"/>
      <c r="G41" s="461"/>
      <c r="H41" s="462"/>
      <c r="I41" s="461"/>
      <c r="J41" s="461"/>
    </row>
    <row r="42" spans="1:10" s="100" customFormat="1" ht="24" customHeight="1">
      <c r="A42" s="364"/>
      <c r="B42" s="365"/>
      <c r="C42" s="366"/>
      <c r="D42" s="461"/>
      <c r="E42" s="461"/>
      <c r="F42" s="461"/>
      <c r="G42" s="461"/>
      <c r="H42" s="462"/>
      <c r="I42" s="461"/>
      <c r="J42" s="461"/>
    </row>
    <row r="43" spans="1:10" s="100" customFormat="1" ht="24" customHeight="1">
      <c r="A43" s="364"/>
      <c r="B43" s="365"/>
      <c r="C43" s="366"/>
      <c r="D43" s="461"/>
      <c r="E43" s="461"/>
      <c r="F43" s="461"/>
      <c r="G43" s="461"/>
      <c r="H43" s="462"/>
      <c r="I43" s="461"/>
      <c r="J43" s="461"/>
    </row>
    <row r="44" spans="1:10" s="62" customFormat="1" ht="27" customHeight="1">
      <c r="A44" s="367"/>
      <c r="B44" s="368"/>
      <c r="C44" s="369"/>
      <c r="D44" s="445"/>
      <c r="E44" s="445"/>
      <c r="F44" s="445"/>
      <c r="G44" s="445"/>
      <c r="H44" s="463"/>
      <c r="I44" s="446"/>
      <c r="J44" s="446"/>
    </row>
    <row r="45" spans="1:10" s="62" customFormat="1" ht="48.75" customHeight="1">
      <c r="A45" s="370"/>
      <c r="B45" s="799"/>
      <c r="C45" s="800" t="s">
        <v>381</v>
      </c>
      <c r="D45" s="445"/>
      <c r="E45" s="445"/>
      <c r="F45" s="445"/>
      <c r="G45" s="445"/>
      <c r="H45" s="463"/>
      <c r="I45" s="446"/>
      <c r="J45" s="446"/>
    </row>
    <row r="46" spans="1:10" s="68" customFormat="1" ht="30.75" customHeight="1">
      <c r="A46" s="371"/>
      <c r="B46" s="372"/>
      <c r="C46" s="373"/>
      <c r="D46" s="445"/>
      <c r="E46" s="445"/>
      <c r="F46" s="445"/>
      <c r="G46" s="445"/>
      <c r="H46" s="463"/>
      <c r="I46" s="447"/>
      <c r="J46" s="447"/>
    </row>
    <row r="47" spans="1:12" s="104" customFormat="1" ht="22.5" customHeight="1">
      <c r="A47" s="374"/>
      <c r="B47" s="361"/>
      <c r="C47" s="375"/>
      <c r="D47" s="449" t="s">
        <v>52</v>
      </c>
      <c r="E47" s="449" t="s">
        <v>53</v>
      </c>
      <c r="F47" s="449" t="s">
        <v>54</v>
      </c>
      <c r="G47" s="449" t="s">
        <v>81</v>
      </c>
      <c r="H47" s="464" t="s">
        <v>230</v>
      </c>
      <c r="I47" s="449" t="s">
        <v>57</v>
      </c>
      <c r="J47" s="449" t="s">
        <v>58</v>
      </c>
      <c r="K47" s="103"/>
      <c r="L47" s="103"/>
    </row>
    <row r="48" spans="1:10" s="106" customFormat="1" ht="19.5">
      <c r="A48" s="313">
        <v>621</v>
      </c>
      <c r="B48" s="376"/>
      <c r="C48" s="105" t="s">
        <v>111</v>
      </c>
      <c r="D48" s="724">
        <f>C_621_CARN2</f>
        <v>0</v>
      </c>
      <c r="E48" s="724">
        <f>C_621_BEXN1</f>
        <v>0</v>
      </c>
      <c r="F48" s="545">
        <f>C_621_BPPN0-G48</f>
        <v>0</v>
      </c>
      <c r="G48" s="545">
        <f>C_621_MSNN0</f>
        <v>0</v>
      </c>
      <c r="H48" s="465">
        <f aca="true" t="shared" si="3" ref="H48:H58">F48+G48</f>
        <v>0</v>
      </c>
      <c r="I48" s="524"/>
      <c r="J48" s="547">
        <f>C_621_BEXN0</f>
        <v>0</v>
      </c>
    </row>
    <row r="49" spans="1:10" s="106" customFormat="1" ht="19.5">
      <c r="A49" s="313">
        <v>622</v>
      </c>
      <c r="B49" s="376"/>
      <c r="C49" s="105" t="s">
        <v>112</v>
      </c>
      <c r="D49" s="724">
        <f>C_622_CARN2</f>
        <v>0</v>
      </c>
      <c r="E49" s="724">
        <f>C_622_BEXN1</f>
        <v>0</v>
      </c>
      <c r="F49" s="545">
        <f>C_622_BPPN0-G49</f>
        <v>0</v>
      </c>
      <c r="G49" s="545">
        <f>C_622_MSNN0</f>
        <v>0</v>
      </c>
      <c r="H49" s="465">
        <f t="shared" si="3"/>
        <v>0</v>
      </c>
      <c r="I49" s="525"/>
      <c r="J49" s="547">
        <f>C_622_BEXN0</f>
        <v>0</v>
      </c>
    </row>
    <row r="50" spans="1:10" s="106" customFormat="1" ht="37.5">
      <c r="A50" s="313">
        <v>631</v>
      </c>
      <c r="B50" s="376"/>
      <c r="C50" s="105" t="s">
        <v>113</v>
      </c>
      <c r="D50" s="724">
        <f>C_631_CARN2</f>
        <v>0</v>
      </c>
      <c r="E50" s="724">
        <f>C_631_BEXN1</f>
        <v>0</v>
      </c>
      <c r="F50" s="545">
        <f>C_631_BPPN0-G50</f>
        <v>0</v>
      </c>
      <c r="G50" s="545">
        <f>C_631_MSNN0</f>
        <v>0</v>
      </c>
      <c r="H50" s="465">
        <f t="shared" si="3"/>
        <v>0</v>
      </c>
      <c r="I50" s="525"/>
      <c r="J50" s="547">
        <f>C_631_BEXN0</f>
        <v>0</v>
      </c>
    </row>
    <row r="51" spans="1:10" s="106" customFormat="1" ht="37.5">
      <c r="A51" s="313">
        <v>633</v>
      </c>
      <c r="B51" s="376"/>
      <c r="C51" s="105" t="s">
        <v>114</v>
      </c>
      <c r="D51" s="724">
        <f>C_633_CARN2</f>
        <v>0</v>
      </c>
      <c r="E51" s="724">
        <f>C_633_BEXN1</f>
        <v>0</v>
      </c>
      <c r="F51" s="545">
        <f>C_633_BPPN0-G51</f>
        <v>0</v>
      </c>
      <c r="G51" s="545">
        <f>C_633_MSNN0</f>
        <v>0</v>
      </c>
      <c r="H51" s="465">
        <f t="shared" si="3"/>
        <v>0</v>
      </c>
      <c r="I51" s="525"/>
      <c r="J51" s="547">
        <f>C_633_BEXN0</f>
        <v>0</v>
      </c>
    </row>
    <row r="52" spans="1:10" s="106" customFormat="1" ht="19.5">
      <c r="A52" s="313">
        <v>641</v>
      </c>
      <c r="B52" s="376"/>
      <c r="C52" s="105" t="s">
        <v>115</v>
      </c>
      <c r="D52" s="724">
        <f>C_641_CARN2</f>
        <v>0</v>
      </c>
      <c r="E52" s="724">
        <f>C_641_BEXN1</f>
        <v>0</v>
      </c>
      <c r="F52" s="545">
        <f>C_641_BPPN0-G52</f>
        <v>0</v>
      </c>
      <c r="G52" s="545">
        <f>C_641_MSNN0</f>
        <v>0</v>
      </c>
      <c r="H52" s="450">
        <f t="shared" si="3"/>
        <v>0</v>
      </c>
      <c r="I52" s="525"/>
      <c r="J52" s="545">
        <f>C_641_BEXN0</f>
        <v>0</v>
      </c>
    </row>
    <row r="53" spans="1:10" s="106" customFormat="1" ht="19.5">
      <c r="A53" s="313">
        <v>642</v>
      </c>
      <c r="B53" s="376"/>
      <c r="C53" s="107" t="s">
        <v>116</v>
      </c>
      <c r="D53" s="724">
        <f>C_642_CARN2</f>
        <v>0</v>
      </c>
      <c r="E53" s="724">
        <f>C_642_BEXN1</f>
        <v>0</v>
      </c>
      <c r="F53" s="545">
        <f>C_642_BPPN0-G53</f>
        <v>0</v>
      </c>
      <c r="G53" s="545">
        <f>C_642_MSNN0</f>
        <v>0</v>
      </c>
      <c r="H53" s="450">
        <f t="shared" si="3"/>
        <v>0</v>
      </c>
      <c r="I53" s="525"/>
      <c r="J53" s="545">
        <f>C_642_BEXN0</f>
        <v>0</v>
      </c>
    </row>
    <row r="54" spans="1:10" s="106" customFormat="1" ht="19.5">
      <c r="A54" s="313">
        <v>643</v>
      </c>
      <c r="B54" s="376"/>
      <c r="C54" s="107" t="s">
        <v>232</v>
      </c>
      <c r="D54" s="724">
        <f>C_643_CARN2</f>
        <v>0</v>
      </c>
      <c r="E54" s="724">
        <f>C_643_BEXN1</f>
        <v>0</v>
      </c>
      <c r="F54" s="545">
        <f>C_643_BPPN0-G54</f>
        <v>0</v>
      </c>
      <c r="G54" s="545">
        <f>C_643_MSNN0</f>
        <v>0</v>
      </c>
      <c r="H54" s="450">
        <f t="shared" si="3"/>
        <v>0</v>
      </c>
      <c r="I54" s="525"/>
      <c r="J54" s="545">
        <f>C_643_BEXN0</f>
        <v>0</v>
      </c>
    </row>
    <row r="55" spans="1:12" s="109" customFormat="1" ht="19.5">
      <c r="A55" s="314">
        <v>645</v>
      </c>
      <c r="B55" s="377"/>
      <c r="C55" s="105" t="s">
        <v>117</v>
      </c>
      <c r="D55" s="724">
        <f>C_645_CARN2</f>
        <v>0</v>
      </c>
      <c r="E55" s="724">
        <f>C_645_BEXN1</f>
        <v>0</v>
      </c>
      <c r="F55" s="545">
        <f>C_645_BPPN0-G55</f>
        <v>0</v>
      </c>
      <c r="G55" s="545">
        <f>C_645_MSNN0</f>
        <v>0</v>
      </c>
      <c r="H55" s="450">
        <f t="shared" si="3"/>
        <v>0</v>
      </c>
      <c r="I55" s="525"/>
      <c r="J55" s="545">
        <f>C_645_BEXN0</f>
        <v>0</v>
      </c>
      <c r="K55" s="108"/>
      <c r="L55" s="108"/>
    </row>
    <row r="56" spans="1:12" s="109" customFormat="1" ht="19.5">
      <c r="A56" s="314">
        <v>646</v>
      </c>
      <c r="B56" s="377"/>
      <c r="C56" s="105" t="s">
        <v>118</v>
      </c>
      <c r="D56" s="724">
        <f>C_646_CARN2</f>
        <v>0</v>
      </c>
      <c r="E56" s="724">
        <f>C_646_BEXN1</f>
        <v>0</v>
      </c>
      <c r="F56" s="545">
        <f>C_646_BPPN0-G56</f>
        <v>0</v>
      </c>
      <c r="G56" s="545">
        <f>C_646_MSNN0</f>
        <v>0</v>
      </c>
      <c r="H56" s="465">
        <f t="shared" si="3"/>
        <v>0</v>
      </c>
      <c r="I56" s="525"/>
      <c r="J56" s="548">
        <f>C_646_BEXN0</f>
        <v>0</v>
      </c>
      <c r="K56" s="108"/>
      <c r="L56" s="108"/>
    </row>
    <row r="57" spans="1:10" s="106" customFormat="1" ht="19.5">
      <c r="A57" s="313">
        <v>647</v>
      </c>
      <c r="B57" s="376"/>
      <c r="C57" s="107" t="s">
        <v>119</v>
      </c>
      <c r="D57" s="724">
        <f>C_647_CARN2</f>
        <v>0</v>
      </c>
      <c r="E57" s="724">
        <f>C_647_BEXN1</f>
        <v>0</v>
      </c>
      <c r="F57" s="545">
        <f>C_647_BPPN0-G57</f>
        <v>0</v>
      </c>
      <c r="G57" s="545">
        <f>C_647_MSNN0</f>
        <v>0</v>
      </c>
      <c r="H57" s="465">
        <f t="shared" si="3"/>
        <v>0</v>
      </c>
      <c r="I57" s="525"/>
      <c r="J57" s="547">
        <f>C_647_BEXN0</f>
        <v>0</v>
      </c>
    </row>
    <row r="58" spans="1:12" s="106" customFormat="1" ht="19.5">
      <c r="A58" s="313">
        <v>648</v>
      </c>
      <c r="B58" s="376"/>
      <c r="C58" s="287" t="s">
        <v>120</v>
      </c>
      <c r="D58" s="725">
        <f>C_648_CARN2</f>
        <v>0</v>
      </c>
      <c r="E58" s="725">
        <f>C_648_BEXN1</f>
        <v>0</v>
      </c>
      <c r="F58" s="545">
        <f>C_648_BPPN0-G58</f>
        <v>0</v>
      </c>
      <c r="G58" s="549">
        <f>C_648_MSNN0</f>
        <v>0</v>
      </c>
      <c r="H58" s="466">
        <f t="shared" si="3"/>
        <v>0</v>
      </c>
      <c r="I58" s="525"/>
      <c r="J58" s="549">
        <f>C_648_BEXN0</f>
        <v>0</v>
      </c>
      <c r="K58" s="110"/>
      <c r="L58" s="110"/>
    </row>
    <row r="59" spans="1:12" s="106" customFormat="1" ht="16.5" customHeight="1">
      <c r="A59" s="378"/>
      <c r="B59" s="379"/>
      <c r="C59" s="380"/>
      <c r="D59" s="403"/>
      <c r="E59" s="404"/>
      <c r="F59" s="404"/>
      <c r="G59" s="404"/>
      <c r="H59" s="439"/>
      <c r="I59" s="467"/>
      <c r="J59" s="404"/>
      <c r="K59" s="110"/>
      <c r="L59" s="110"/>
    </row>
    <row r="60" spans="1:10" s="110" customFormat="1" ht="9" customHeight="1" thickBot="1">
      <c r="A60" s="360"/>
      <c r="B60" s="381"/>
      <c r="C60" s="382"/>
      <c r="D60" s="468"/>
      <c r="E60" s="468"/>
      <c r="F60" s="468"/>
      <c r="G60" s="468"/>
      <c r="H60" s="469"/>
      <c r="I60" s="470"/>
      <c r="J60" s="405"/>
    </row>
    <row r="61" spans="1:12" s="102" customFormat="1" ht="24" customHeight="1" thickBot="1" thickTop="1">
      <c r="A61" s="360"/>
      <c r="B61" s="801"/>
      <c r="C61" s="802" t="s">
        <v>121</v>
      </c>
      <c r="D61" s="427">
        <f aca="true" t="shared" si="4" ref="D61:J61">SUM(D48:D58)</f>
        <v>0</v>
      </c>
      <c r="E61" s="427">
        <f t="shared" si="4"/>
        <v>0</v>
      </c>
      <c r="F61" s="427">
        <f t="shared" si="4"/>
        <v>0</v>
      </c>
      <c r="G61" s="427">
        <f t="shared" si="4"/>
        <v>0</v>
      </c>
      <c r="H61" s="427">
        <f>F61+G61</f>
        <v>0</v>
      </c>
      <c r="I61" s="550">
        <f>FGROUPE2_Budgetret</f>
        <v>0</v>
      </c>
      <c r="J61" s="428">
        <f t="shared" si="4"/>
        <v>0</v>
      </c>
      <c r="K61" s="101"/>
      <c r="L61" s="101"/>
    </row>
    <row r="62" spans="1:12" s="102" customFormat="1" ht="24" customHeight="1" thickTop="1">
      <c r="A62" s="360"/>
      <c r="B62" s="361"/>
      <c r="C62" s="111"/>
      <c r="D62" s="458"/>
      <c r="E62" s="458"/>
      <c r="F62" s="458"/>
      <c r="G62" s="458"/>
      <c r="H62" s="459"/>
      <c r="I62" s="471"/>
      <c r="J62" s="471"/>
      <c r="K62" s="101"/>
      <c r="L62" s="101"/>
    </row>
    <row r="63" spans="1:10" ht="26.25">
      <c r="A63" s="383"/>
      <c r="B63" s="358"/>
      <c r="C63" s="359"/>
      <c r="D63" s="445"/>
      <c r="E63" s="445"/>
      <c r="F63" s="445"/>
      <c r="G63" s="445"/>
      <c r="H63" s="463"/>
      <c r="I63" s="446"/>
      <c r="J63" s="446"/>
    </row>
    <row r="64" spans="1:10" ht="21" customHeight="1">
      <c r="A64" s="383"/>
      <c r="B64" s="803"/>
      <c r="C64" s="804"/>
      <c r="D64" s="445"/>
      <c r="E64" s="445"/>
      <c r="F64" s="445"/>
      <c r="G64" s="445"/>
      <c r="H64" s="463"/>
      <c r="I64" s="446"/>
      <c r="J64" s="446"/>
    </row>
    <row r="65" spans="1:11" ht="21" customHeight="1">
      <c r="A65" s="383"/>
      <c r="B65" s="805"/>
      <c r="C65" s="800" t="s">
        <v>382</v>
      </c>
      <c r="D65" s="445"/>
      <c r="E65" s="445"/>
      <c r="F65" s="445"/>
      <c r="G65" s="445"/>
      <c r="H65" s="463"/>
      <c r="I65" s="447"/>
      <c r="J65" s="447"/>
      <c r="K65" s="406"/>
    </row>
    <row r="66" spans="1:10" ht="21" customHeight="1">
      <c r="A66" s="383"/>
      <c r="B66" s="803"/>
      <c r="C66" s="804"/>
      <c r="D66" s="443"/>
      <c r="E66" s="443"/>
      <c r="F66" s="443"/>
      <c r="G66" s="443"/>
      <c r="H66" s="472"/>
      <c r="I66" s="443"/>
      <c r="J66" s="443"/>
    </row>
    <row r="67" spans="1:10" ht="21" customHeight="1">
      <c r="A67" s="383"/>
      <c r="B67" s="358"/>
      <c r="C67" s="359"/>
      <c r="D67" s="473" t="s">
        <v>52</v>
      </c>
      <c r="E67" s="473" t="s">
        <v>53</v>
      </c>
      <c r="F67" s="473" t="s">
        <v>54</v>
      </c>
      <c r="G67" s="473" t="s">
        <v>81</v>
      </c>
      <c r="H67" s="474" t="s">
        <v>230</v>
      </c>
      <c r="I67" s="473" t="s">
        <v>57</v>
      </c>
      <c r="J67" s="473" t="s">
        <v>58</v>
      </c>
    </row>
    <row r="68" spans="1:10" s="77" customFormat="1" ht="20.25">
      <c r="A68" s="309">
        <v>612</v>
      </c>
      <c r="B68" s="74"/>
      <c r="C68" s="75" t="s">
        <v>122</v>
      </c>
      <c r="D68" s="724">
        <f>C_612_CARN2</f>
        <v>0</v>
      </c>
      <c r="E68" s="724">
        <f>C_612_BEXN1</f>
        <v>0</v>
      </c>
      <c r="F68" s="545">
        <f>C_612_BPPN0-G68</f>
        <v>0</v>
      </c>
      <c r="G68" s="545">
        <f>C_612_MSNN0</f>
        <v>0</v>
      </c>
      <c r="H68" s="450">
        <f aca="true" t="shared" si="5" ref="H68:H81">F68+G68</f>
        <v>0</v>
      </c>
      <c r="I68" s="524"/>
      <c r="J68" s="545">
        <f>C_612_BEXN0</f>
        <v>0</v>
      </c>
    </row>
    <row r="69" spans="1:10" s="77" customFormat="1" ht="20.25">
      <c r="A69" s="309">
        <v>6132</v>
      </c>
      <c r="B69" s="74"/>
      <c r="C69" s="75" t="s">
        <v>123</v>
      </c>
      <c r="D69" s="724">
        <f>C_6132_CARN2</f>
        <v>0</v>
      </c>
      <c r="E69" s="724">
        <f>C_6132_BEXN1</f>
        <v>0</v>
      </c>
      <c r="F69" s="545">
        <f>C_6132_BPPN0-G69</f>
        <v>0</v>
      </c>
      <c r="G69" s="545">
        <f>C_6132_MSNN0</f>
        <v>0</v>
      </c>
      <c r="H69" s="450">
        <f t="shared" si="5"/>
        <v>0</v>
      </c>
      <c r="I69" s="525"/>
      <c r="J69" s="545">
        <f>C_6132_BEXN0</f>
        <v>0</v>
      </c>
    </row>
    <row r="70" spans="1:10" s="77" customFormat="1" ht="20.25">
      <c r="A70" s="309">
        <v>6135</v>
      </c>
      <c r="B70" s="74"/>
      <c r="C70" s="75" t="s">
        <v>124</v>
      </c>
      <c r="D70" s="724">
        <f>C_6135_CARN2</f>
        <v>0</v>
      </c>
      <c r="E70" s="724">
        <f>C_6135_BEXN1</f>
        <v>0</v>
      </c>
      <c r="F70" s="545">
        <f>C_6135_BPPN0-G70</f>
        <v>0</v>
      </c>
      <c r="G70" s="545">
        <f>C_6135_MSNN0</f>
        <v>0</v>
      </c>
      <c r="H70" s="450">
        <f t="shared" si="5"/>
        <v>0</v>
      </c>
      <c r="I70" s="525"/>
      <c r="J70" s="545">
        <f>C_6135_BEXN0</f>
        <v>0</v>
      </c>
    </row>
    <row r="71" spans="1:10" s="77" customFormat="1" ht="20.25">
      <c r="A71" s="309">
        <v>614</v>
      </c>
      <c r="B71" s="74"/>
      <c r="C71" s="75" t="s">
        <v>125</v>
      </c>
      <c r="D71" s="724">
        <f>C_614_CARN2</f>
        <v>0</v>
      </c>
      <c r="E71" s="724">
        <f>C_614_BEXN1</f>
        <v>0</v>
      </c>
      <c r="F71" s="545">
        <f>C_614_BPPN0-G71</f>
        <v>0</v>
      </c>
      <c r="G71" s="545">
        <f>C_614_MSNN0</f>
        <v>0</v>
      </c>
      <c r="H71" s="450">
        <f t="shared" si="5"/>
        <v>0</v>
      </c>
      <c r="I71" s="525"/>
      <c r="J71" s="545">
        <f>C_614_BEXN0</f>
        <v>0</v>
      </c>
    </row>
    <row r="72" spans="1:10" s="77" customFormat="1" ht="20.25">
      <c r="A72" s="309">
        <v>6152</v>
      </c>
      <c r="B72" s="74"/>
      <c r="C72" s="75" t="s">
        <v>126</v>
      </c>
      <c r="D72" s="724">
        <f>C_6152_CARN2</f>
        <v>0</v>
      </c>
      <c r="E72" s="724">
        <f>C_6152_BEXN1</f>
        <v>0</v>
      </c>
      <c r="F72" s="545">
        <f>C_6152_BPPN0-G72</f>
        <v>0</v>
      </c>
      <c r="G72" s="545">
        <f>C_6152_MSNN0</f>
        <v>0</v>
      </c>
      <c r="H72" s="450">
        <f t="shared" si="5"/>
        <v>0</v>
      </c>
      <c r="I72" s="525"/>
      <c r="J72" s="545">
        <f>C_6152_BEXN0</f>
        <v>0</v>
      </c>
    </row>
    <row r="73" spans="1:10" s="77" customFormat="1" ht="20.25">
      <c r="A73" s="309">
        <v>6155</v>
      </c>
      <c r="B73" s="74"/>
      <c r="C73" s="75" t="s">
        <v>127</v>
      </c>
      <c r="D73" s="724">
        <f>C_6155_CARN2</f>
        <v>0</v>
      </c>
      <c r="E73" s="724">
        <f>C_6155_BEXN1</f>
        <v>0</v>
      </c>
      <c r="F73" s="545">
        <f>C_6155_BPPN0-G73</f>
        <v>0</v>
      </c>
      <c r="G73" s="545">
        <f>C_6155_MSNN0</f>
        <v>0</v>
      </c>
      <c r="H73" s="450">
        <f t="shared" si="5"/>
        <v>0</v>
      </c>
      <c r="I73" s="525"/>
      <c r="J73" s="545">
        <f>C_6155_BEXN0</f>
        <v>0</v>
      </c>
    </row>
    <row r="74" spans="1:10" s="77" customFormat="1" ht="20.25">
      <c r="A74" s="309">
        <v>6156</v>
      </c>
      <c r="B74" s="74"/>
      <c r="C74" s="75" t="s">
        <v>128</v>
      </c>
      <c r="D74" s="724">
        <f>C_6156_CARN2</f>
        <v>0</v>
      </c>
      <c r="E74" s="724">
        <f>C_6156_BEXN1</f>
        <v>0</v>
      </c>
      <c r="F74" s="545">
        <f>C_6156_BPPN0-G74</f>
        <v>0</v>
      </c>
      <c r="G74" s="545">
        <f>C_6156_MSNN0</f>
        <v>0</v>
      </c>
      <c r="H74" s="450">
        <f t="shared" si="5"/>
        <v>0</v>
      </c>
      <c r="I74" s="525"/>
      <c r="J74" s="545">
        <f>C_6156_BEXN0</f>
        <v>0</v>
      </c>
    </row>
    <row r="75" spans="1:10" s="77" customFormat="1" ht="20.25">
      <c r="A75" s="309">
        <v>616</v>
      </c>
      <c r="B75" s="74"/>
      <c r="C75" s="75" t="s">
        <v>129</v>
      </c>
      <c r="D75" s="724">
        <f>C_616_CARN2</f>
        <v>0</v>
      </c>
      <c r="E75" s="724">
        <f>C_616_BEXN1</f>
        <v>0</v>
      </c>
      <c r="F75" s="545">
        <f>C_616_BPPN0-G75</f>
        <v>0</v>
      </c>
      <c r="G75" s="545">
        <f>C_616_MSNN0</f>
        <v>0</v>
      </c>
      <c r="H75" s="450">
        <f t="shared" si="5"/>
        <v>0</v>
      </c>
      <c r="I75" s="525"/>
      <c r="J75" s="545">
        <f>C_616_BEXN0</f>
        <v>0</v>
      </c>
    </row>
    <row r="76" spans="1:10" s="77" customFormat="1" ht="20.25">
      <c r="A76" s="309">
        <v>617</v>
      </c>
      <c r="B76" s="74"/>
      <c r="C76" s="75" t="s">
        <v>130</v>
      </c>
      <c r="D76" s="724">
        <f>C_617_CARN2</f>
        <v>0</v>
      </c>
      <c r="E76" s="724">
        <f>C_617_BEXN1</f>
        <v>0</v>
      </c>
      <c r="F76" s="545">
        <f>C_617_BPPN0-G76</f>
        <v>0</v>
      </c>
      <c r="G76" s="545">
        <f>C_617_MSNN0</f>
        <v>0</v>
      </c>
      <c r="H76" s="450">
        <f t="shared" si="5"/>
        <v>0</v>
      </c>
      <c r="I76" s="525"/>
      <c r="J76" s="545">
        <f>C_617_BEXN0</f>
        <v>0</v>
      </c>
    </row>
    <row r="77" spans="1:10" s="112" customFormat="1" ht="18.75">
      <c r="A77" s="309">
        <v>618</v>
      </c>
      <c r="B77" s="74"/>
      <c r="C77" s="75" t="s">
        <v>131</v>
      </c>
      <c r="D77" s="724">
        <f>C_618_CARN2</f>
        <v>0</v>
      </c>
      <c r="E77" s="724">
        <f>C_618_BEXN1</f>
        <v>0</v>
      </c>
      <c r="F77" s="545">
        <f>C_618_BPPN0-G77</f>
        <v>0</v>
      </c>
      <c r="G77" s="545">
        <f>C_618_MSNN0</f>
        <v>0</v>
      </c>
      <c r="H77" s="450">
        <f t="shared" si="5"/>
        <v>0</v>
      </c>
      <c r="I77" s="525"/>
      <c r="J77" s="545">
        <f>C_618_BEXN0</f>
        <v>0</v>
      </c>
    </row>
    <row r="78" spans="1:10" s="99" customFormat="1" ht="19.5">
      <c r="A78" s="311">
        <v>623</v>
      </c>
      <c r="B78" s="96"/>
      <c r="C78" s="97" t="s">
        <v>132</v>
      </c>
      <c r="D78" s="723">
        <f>C_623_CARN2</f>
        <v>0</v>
      </c>
      <c r="E78" s="723">
        <f>C_623_BEXN1</f>
        <v>0</v>
      </c>
      <c r="F78" s="545">
        <f>C_623_BPPN0-G78</f>
        <v>0</v>
      </c>
      <c r="G78" s="551">
        <f>C_623_MSNN0</f>
        <v>0</v>
      </c>
      <c r="H78" s="475">
        <f t="shared" si="5"/>
        <v>0</v>
      </c>
      <c r="I78" s="525"/>
      <c r="J78" s="545">
        <f>C_623_BEXN0</f>
        <v>0</v>
      </c>
    </row>
    <row r="79" spans="1:10" s="99" customFormat="1" ht="19.5">
      <c r="A79" s="311">
        <v>627</v>
      </c>
      <c r="B79" s="96"/>
      <c r="C79" s="97" t="s">
        <v>133</v>
      </c>
      <c r="D79" s="723">
        <f>C_627_CARN2</f>
        <v>0</v>
      </c>
      <c r="E79" s="723">
        <f>C_627_BEXN1</f>
        <v>0</v>
      </c>
      <c r="F79" s="545">
        <f>C_627_BPPN0-G79</f>
        <v>0</v>
      </c>
      <c r="G79" s="551">
        <f>C_627_MSNN0</f>
        <v>0</v>
      </c>
      <c r="H79" s="475">
        <f t="shared" si="5"/>
        <v>0</v>
      </c>
      <c r="I79" s="525"/>
      <c r="J79" s="545">
        <f>C_627_BEXN0</f>
        <v>0</v>
      </c>
    </row>
    <row r="80" spans="1:10" s="77" customFormat="1" ht="37.5">
      <c r="A80" s="315">
        <v>635</v>
      </c>
      <c r="B80" s="113"/>
      <c r="C80" s="114" t="s">
        <v>134</v>
      </c>
      <c r="D80" s="724">
        <f>C_635_CARN2</f>
        <v>0</v>
      </c>
      <c r="E80" s="724">
        <f>C_635_BEXN1</f>
        <v>0</v>
      </c>
      <c r="F80" s="545">
        <f>C_635_BPPN0-G80</f>
        <v>0</v>
      </c>
      <c r="G80" s="545">
        <f>C_635_MSNN0</f>
        <v>0</v>
      </c>
      <c r="H80" s="450">
        <f t="shared" si="5"/>
        <v>0</v>
      </c>
      <c r="I80" s="525"/>
      <c r="J80" s="545">
        <f>C_635_BEXN0</f>
        <v>0</v>
      </c>
    </row>
    <row r="81" spans="1:10" s="77" customFormat="1" ht="20.25">
      <c r="A81" s="316">
        <v>637</v>
      </c>
      <c r="B81" s="116"/>
      <c r="C81" s="114" t="s">
        <v>135</v>
      </c>
      <c r="D81" s="724">
        <f>C_637_CARN2</f>
        <v>0</v>
      </c>
      <c r="E81" s="724">
        <f>C_637_BEXN1</f>
        <v>0</v>
      </c>
      <c r="F81" s="545">
        <f>C_637_BPPN0-G81</f>
        <v>0</v>
      </c>
      <c r="G81" s="545">
        <f>C_637_MSNN0</f>
        <v>0</v>
      </c>
      <c r="H81" s="450">
        <f t="shared" si="5"/>
        <v>0</v>
      </c>
      <c r="I81" s="527"/>
      <c r="J81" s="545">
        <f>C_637_BEXN0</f>
        <v>0</v>
      </c>
    </row>
    <row r="82" spans="1:10" s="77" customFormat="1" ht="38.25" customHeight="1">
      <c r="A82" s="115"/>
      <c r="B82" s="117"/>
      <c r="C82" s="118"/>
      <c r="D82" s="476"/>
      <c r="E82" s="476"/>
      <c r="F82" s="476"/>
      <c r="G82" s="476"/>
      <c r="H82" s="477"/>
      <c r="I82" s="478"/>
      <c r="J82" s="476"/>
    </row>
    <row r="83" spans="1:10" s="77" customFormat="1" ht="15" customHeight="1">
      <c r="A83" s="115"/>
      <c r="B83" s="117"/>
      <c r="C83" s="118"/>
      <c r="D83" s="476"/>
      <c r="E83" s="476"/>
      <c r="F83" s="476"/>
      <c r="G83" s="476"/>
      <c r="H83" s="477"/>
      <c r="I83" s="478"/>
      <c r="J83" s="476"/>
    </row>
    <row r="84" spans="1:10" s="77" customFormat="1" ht="38.25" customHeight="1">
      <c r="A84" s="119"/>
      <c r="B84" s="117"/>
      <c r="C84" s="120"/>
      <c r="D84" s="476"/>
      <c r="E84" s="476"/>
      <c r="F84" s="476"/>
      <c r="G84" s="476"/>
      <c r="H84" s="477"/>
      <c r="I84" s="479"/>
      <c r="J84" s="476"/>
    </row>
    <row r="85" spans="1:10" s="77" customFormat="1" ht="38.25" customHeight="1">
      <c r="A85" s="119"/>
      <c r="B85" s="117"/>
      <c r="C85" s="120"/>
      <c r="D85" s="476"/>
      <c r="E85" s="476"/>
      <c r="F85" s="476"/>
      <c r="G85" s="476"/>
      <c r="H85" s="477"/>
      <c r="I85" s="479"/>
      <c r="J85" s="476"/>
    </row>
    <row r="86" spans="1:10" s="77" customFormat="1" ht="19.5" customHeight="1">
      <c r="A86" s="119"/>
      <c r="B86" s="117"/>
      <c r="C86" s="120"/>
      <c r="D86" s="476"/>
      <c r="E86" s="476"/>
      <c r="F86" s="476"/>
      <c r="G86" s="476"/>
      <c r="H86" s="477"/>
      <c r="I86" s="479"/>
      <c r="J86" s="476"/>
    </row>
    <row r="87" spans="1:10" s="123" customFormat="1" ht="18" customHeight="1">
      <c r="A87" s="121" t="s">
        <v>136</v>
      </c>
      <c r="B87" s="121"/>
      <c r="C87" s="122"/>
      <c r="D87" s="480" t="s">
        <v>52</v>
      </c>
      <c r="E87" s="480" t="s">
        <v>53</v>
      </c>
      <c r="F87" s="480" t="s">
        <v>54</v>
      </c>
      <c r="G87" s="480" t="s">
        <v>81</v>
      </c>
      <c r="H87" s="481" t="s">
        <v>230</v>
      </c>
      <c r="I87" s="482" t="s">
        <v>57</v>
      </c>
      <c r="J87" s="483" t="s">
        <v>58</v>
      </c>
    </row>
    <row r="88" spans="1:10" s="100" customFormat="1" ht="37.5">
      <c r="A88" s="317">
        <v>651</v>
      </c>
      <c r="B88" s="96"/>
      <c r="C88" s="97" t="s">
        <v>137</v>
      </c>
      <c r="D88" s="723">
        <f>C_651_CARN2</f>
        <v>0</v>
      </c>
      <c r="E88" s="723">
        <f>C_651_BEXN1</f>
        <v>0</v>
      </c>
      <c r="F88" s="545">
        <f>C_651_BPPN0-G88</f>
        <v>0</v>
      </c>
      <c r="G88" s="551">
        <f>C_651_MSNN0</f>
        <v>0</v>
      </c>
      <c r="H88" s="475">
        <f>F88+G88</f>
        <v>0</v>
      </c>
      <c r="I88" s="525"/>
      <c r="J88" s="552">
        <f>C_651_BEXN0</f>
        <v>0</v>
      </c>
    </row>
    <row r="89" spans="1:10" s="100" customFormat="1" ht="20.25">
      <c r="A89" s="311">
        <v>654</v>
      </c>
      <c r="B89" s="96"/>
      <c r="C89" s="97" t="s">
        <v>138</v>
      </c>
      <c r="D89" s="723">
        <f>C_654_CARN2</f>
        <v>0</v>
      </c>
      <c r="E89" s="723">
        <f>C_654_BEXN1</f>
        <v>0</v>
      </c>
      <c r="F89" s="545">
        <f>C_654_BPPN0-G89</f>
        <v>0</v>
      </c>
      <c r="G89" s="551">
        <f>C_654_MSNN0</f>
        <v>0</v>
      </c>
      <c r="H89" s="475">
        <f>F89+G89</f>
        <v>0</v>
      </c>
      <c r="I89" s="525"/>
      <c r="J89" s="547">
        <f>C_654_BEXN0</f>
        <v>0</v>
      </c>
    </row>
    <row r="90" spans="1:10" s="100" customFormat="1" ht="20.25">
      <c r="A90" s="311">
        <v>655</v>
      </c>
      <c r="B90" s="96"/>
      <c r="C90" s="97" t="s">
        <v>106</v>
      </c>
      <c r="D90" s="723">
        <f>C_655_CARN2</f>
        <v>0</v>
      </c>
      <c r="E90" s="723">
        <f>C_655_BEXN1</f>
        <v>0</v>
      </c>
      <c r="F90" s="545">
        <f>C_655_BPPN0-G90</f>
        <v>0</v>
      </c>
      <c r="G90" s="551">
        <f>C_655_MSNN0</f>
        <v>0</v>
      </c>
      <c r="H90" s="475">
        <f>F90+G90</f>
        <v>0</v>
      </c>
      <c r="I90" s="525"/>
      <c r="J90" s="547">
        <f>C_655_BEXN0</f>
        <v>0</v>
      </c>
    </row>
    <row r="91" spans="1:10" s="100" customFormat="1" ht="20.25">
      <c r="A91" s="311">
        <v>657</v>
      </c>
      <c r="B91" s="96"/>
      <c r="C91" s="97" t="s">
        <v>139</v>
      </c>
      <c r="D91" s="723">
        <f>C_657_CARN2</f>
        <v>0</v>
      </c>
      <c r="E91" s="723">
        <f>C_657_BEXN1</f>
        <v>0</v>
      </c>
      <c r="F91" s="545">
        <f>C_657_BPPN0-G91</f>
        <v>0</v>
      </c>
      <c r="G91" s="551">
        <f>C_657_MSNN0</f>
        <v>0</v>
      </c>
      <c r="H91" s="475">
        <f>F91+G91</f>
        <v>0</v>
      </c>
      <c r="I91" s="525"/>
      <c r="J91" s="547">
        <f>C_657_BEXN0</f>
        <v>0</v>
      </c>
    </row>
    <row r="92" spans="1:10" s="100" customFormat="1" ht="20.25">
      <c r="A92" s="311">
        <v>658</v>
      </c>
      <c r="B92" s="96"/>
      <c r="C92" s="97" t="s">
        <v>140</v>
      </c>
      <c r="D92" s="723">
        <f>C_658_CARN2</f>
        <v>0</v>
      </c>
      <c r="E92" s="723">
        <f>C_658_BEXN1</f>
        <v>0</v>
      </c>
      <c r="F92" s="545">
        <f>C_658_BPPN0-G92</f>
        <v>0</v>
      </c>
      <c r="G92" s="551">
        <f>C_658_MSNN0</f>
        <v>0</v>
      </c>
      <c r="H92" s="475">
        <f>F92+G92</f>
        <v>0</v>
      </c>
      <c r="I92" s="525"/>
      <c r="J92" s="547">
        <f>C_658_BEXN0</f>
        <v>0</v>
      </c>
    </row>
    <row r="93" spans="1:10" s="126" customFormat="1" ht="25.5" customHeight="1">
      <c r="A93" s="124" t="s">
        <v>141</v>
      </c>
      <c r="B93" s="125"/>
      <c r="C93" s="125"/>
      <c r="D93" s="484"/>
      <c r="E93" s="484"/>
      <c r="F93" s="484"/>
      <c r="G93" s="484"/>
      <c r="H93" s="485"/>
      <c r="I93" s="526"/>
      <c r="J93" s="456"/>
    </row>
    <row r="94" spans="1:10" s="129" customFormat="1" ht="20.25">
      <c r="A94" s="318">
        <v>66</v>
      </c>
      <c r="B94" s="127"/>
      <c r="C94" s="128" t="s">
        <v>142</v>
      </c>
      <c r="D94" s="720">
        <f>C_66_CARN2</f>
        <v>0</v>
      </c>
      <c r="E94" s="720">
        <f>C_66_BEXN1</f>
        <v>0</v>
      </c>
      <c r="F94" s="545">
        <f>C_66_BPPN0-G94</f>
        <v>0</v>
      </c>
      <c r="G94" s="553">
        <f>C_66_MSNN0</f>
        <v>0</v>
      </c>
      <c r="H94" s="486">
        <f>F94+G94</f>
        <v>0</v>
      </c>
      <c r="I94" s="526"/>
      <c r="J94" s="554">
        <f>C_66_BEXN0</f>
        <v>0</v>
      </c>
    </row>
    <row r="95" spans="1:10" s="129" customFormat="1" ht="16.5" customHeight="1" hidden="1">
      <c r="A95" s="130"/>
      <c r="B95" s="131"/>
      <c r="C95" s="132"/>
      <c r="D95" s="484"/>
      <c r="E95" s="484"/>
      <c r="F95" s="484"/>
      <c r="G95" s="484"/>
      <c r="H95" s="487"/>
      <c r="I95" s="526"/>
      <c r="J95" s="484"/>
    </row>
    <row r="96" spans="1:10" s="126" customFormat="1" ht="25.5" customHeight="1">
      <c r="A96" s="124" t="s">
        <v>143</v>
      </c>
      <c r="B96" s="125"/>
      <c r="C96" s="125"/>
      <c r="D96" s="484"/>
      <c r="E96" s="484"/>
      <c r="F96" s="484"/>
      <c r="G96" s="484"/>
      <c r="H96" s="487"/>
      <c r="I96" s="526"/>
      <c r="J96" s="484"/>
    </row>
    <row r="97" spans="1:10" s="129" customFormat="1" ht="20.25">
      <c r="A97" s="318">
        <v>671</v>
      </c>
      <c r="B97" s="127"/>
      <c r="C97" s="128" t="s">
        <v>144</v>
      </c>
      <c r="D97" s="720">
        <f>C_671_CARN2</f>
        <v>0</v>
      </c>
      <c r="E97" s="720">
        <f>C_671_BEXN1</f>
        <v>0</v>
      </c>
      <c r="F97" s="545">
        <f>C_671_BPPN0-G97</f>
        <v>0</v>
      </c>
      <c r="G97" s="553">
        <f>C_671_MSNN0</f>
        <v>0</v>
      </c>
      <c r="H97" s="486">
        <f>F97+G97</f>
        <v>0</v>
      </c>
      <c r="I97" s="526"/>
      <c r="J97" s="554">
        <f>C_671_BEXN0</f>
        <v>0</v>
      </c>
    </row>
    <row r="98" spans="1:10" s="129" customFormat="1" ht="20.25">
      <c r="A98" s="318">
        <v>673</v>
      </c>
      <c r="B98" s="127"/>
      <c r="C98" s="128" t="s">
        <v>145</v>
      </c>
      <c r="D98" s="720">
        <f>C_673_CARN2</f>
        <v>0</v>
      </c>
      <c r="E98" s="720">
        <f>C_673_BEXN1</f>
        <v>0</v>
      </c>
      <c r="F98" s="545">
        <f>C_673_BPPN0-G98</f>
        <v>0</v>
      </c>
      <c r="G98" s="553">
        <f>C_673_MSNN0</f>
        <v>0</v>
      </c>
      <c r="H98" s="486">
        <f>F98+G98</f>
        <v>0</v>
      </c>
      <c r="I98" s="526"/>
      <c r="J98" s="554">
        <f>C_673_BEXN0</f>
        <v>0</v>
      </c>
    </row>
    <row r="99" spans="1:10" s="129" customFormat="1" ht="20.25">
      <c r="A99" s="318">
        <v>675</v>
      </c>
      <c r="B99" s="127"/>
      <c r="C99" s="128" t="s">
        <v>146</v>
      </c>
      <c r="D99" s="720">
        <f>C_675_CARN2</f>
        <v>0</v>
      </c>
      <c r="E99" s="720">
        <f>C_675_BEXN1</f>
        <v>0</v>
      </c>
      <c r="F99" s="545">
        <f>C_675_BPPN0-G99</f>
        <v>0</v>
      </c>
      <c r="G99" s="553">
        <f>C_675_MSNN0</f>
        <v>0</v>
      </c>
      <c r="H99" s="486">
        <f>F99+G99</f>
        <v>0</v>
      </c>
      <c r="I99" s="526"/>
      <c r="J99" s="554">
        <f>C_675_BEXN0</f>
        <v>0</v>
      </c>
    </row>
    <row r="100" spans="1:10" s="129" customFormat="1" ht="20.25">
      <c r="A100" s="318">
        <v>678</v>
      </c>
      <c r="B100" s="127"/>
      <c r="C100" s="128" t="s">
        <v>147</v>
      </c>
      <c r="D100" s="720">
        <f>C_678_CARN2</f>
        <v>0</v>
      </c>
      <c r="E100" s="720">
        <f>C_678_BEXN1</f>
        <v>0</v>
      </c>
      <c r="F100" s="545">
        <f>C_678_BPPN0-G100</f>
        <v>0</v>
      </c>
      <c r="G100" s="553">
        <f>C_678_MSNN0</f>
        <v>0</v>
      </c>
      <c r="H100" s="486">
        <f>F100+G100</f>
        <v>0</v>
      </c>
      <c r="I100" s="526"/>
      <c r="J100" s="554">
        <f>C_678_BEXN0</f>
        <v>0</v>
      </c>
    </row>
    <row r="101" spans="1:10" s="129" customFormat="1" ht="6" customHeight="1">
      <c r="A101" s="134"/>
      <c r="B101" s="135"/>
      <c r="C101" s="135"/>
      <c r="D101" s="484"/>
      <c r="E101" s="484"/>
      <c r="F101" s="484"/>
      <c r="G101" s="484"/>
      <c r="H101" s="487"/>
      <c r="I101" s="526"/>
      <c r="J101" s="484"/>
    </row>
    <row r="102" spans="1:10" s="138" customFormat="1" ht="19.5" customHeight="1">
      <c r="A102" s="136" t="s">
        <v>21</v>
      </c>
      <c r="B102" s="137"/>
      <c r="C102" s="137"/>
      <c r="D102" s="484"/>
      <c r="E102" s="484"/>
      <c r="F102" s="484"/>
      <c r="G102" s="484"/>
      <c r="H102" s="487"/>
      <c r="I102" s="526"/>
      <c r="J102" s="484"/>
    </row>
    <row r="103" spans="1:10" s="129" customFormat="1" ht="37.5">
      <c r="A103" s="318">
        <v>6811</v>
      </c>
      <c r="B103" s="127"/>
      <c r="C103" s="128" t="s">
        <v>148</v>
      </c>
      <c r="D103" s="719">
        <f>C_6811_CARN2</f>
        <v>0</v>
      </c>
      <c r="E103" s="720">
        <f>C_6811_BEXN1</f>
        <v>0</v>
      </c>
      <c r="F103" s="545">
        <f>C_6811_BPPN0-G103</f>
        <v>0</v>
      </c>
      <c r="G103" s="553">
        <f>C_6811_MSNN0</f>
        <v>0</v>
      </c>
      <c r="H103" s="486">
        <f aca="true" t="shared" si="6" ref="H103:H121">F103+G103</f>
        <v>0</v>
      </c>
      <c r="I103" s="526"/>
      <c r="J103" s="554">
        <f>C_6811_BEXN0</f>
        <v>0</v>
      </c>
    </row>
    <row r="104" spans="1:10" s="129" customFormat="1" ht="20.25">
      <c r="A104" s="318">
        <v>6812</v>
      </c>
      <c r="B104" s="127"/>
      <c r="C104" s="139" t="s">
        <v>149</v>
      </c>
      <c r="D104" s="719">
        <f>C_6812_CARN2</f>
        <v>0</v>
      </c>
      <c r="E104" s="720">
        <f>C_6812_BEXN1</f>
        <v>0</v>
      </c>
      <c r="F104" s="545">
        <f>C_6812_BPPN0-G104</f>
        <v>0</v>
      </c>
      <c r="G104" s="553">
        <f>C_6812_MSNN0</f>
        <v>0</v>
      </c>
      <c r="H104" s="486">
        <f t="shared" si="6"/>
        <v>0</v>
      </c>
      <c r="I104" s="526"/>
      <c r="J104" s="554">
        <f>C_6812_BEXN0</f>
        <v>0</v>
      </c>
    </row>
    <row r="105" spans="1:10" s="129" customFormat="1" ht="20.25">
      <c r="A105" s="318">
        <v>6815</v>
      </c>
      <c r="B105" s="127"/>
      <c r="C105" s="139" t="s">
        <v>150</v>
      </c>
      <c r="D105" s="719">
        <f>C_6815_CARN2</f>
        <v>0</v>
      </c>
      <c r="E105" s="720">
        <f>C_6815_BEXN1</f>
        <v>0</v>
      </c>
      <c r="F105" s="545">
        <f>C_6815_BPPN0-G105</f>
        <v>0</v>
      </c>
      <c r="G105" s="553">
        <f>C_6815_MSNN0</f>
        <v>0</v>
      </c>
      <c r="H105" s="486">
        <f t="shared" si="6"/>
        <v>0</v>
      </c>
      <c r="I105" s="526"/>
      <c r="J105" s="554">
        <f>C_6815_BEXN0</f>
        <v>0</v>
      </c>
    </row>
    <row r="106" spans="1:10" s="133" customFormat="1" ht="20.25">
      <c r="A106" s="319">
        <v>6816</v>
      </c>
      <c r="B106" s="140"/>
      <c r="C106" s="141" t="s">
        <v>22</v>
      </c>
      <c r="D106" s="721">
        <f>C_6816_CARN2</f>
        <v>0</v>
      </c>
      <c r="E106" s="721">
        <f>C_6816_BEXN1</f>
        <v>0</v>
      </c>
      <c r="F106" s="609">
        <f>C_6816_BPPN0-G106</f>
        <v>0</v>
      </c>
      <c r="G106" s="609">
        <f>C_6816_MSNN0</f>
        <v>0</v>
      </c>
      <c r="H106" s="488">
        <f t="shared" si="6"/>
        <v>0</v>
      </c>
      <c r="I106" s="526"/>
      <c r="J106" s="609">
        <f>C_6816_BEXN0</f>
        <v>0</v>
      </c>
    </row>
    <row r="107" spans="1:10" s="129" customFormat="1" ht="20.25">
      <c r="A107" s="318">
        <v>6817</v>
      </c>
      <c r="B107" s="127"/>
      <c r="C107" s="139" t="s">
        <v>151</v>
      </c>
      <c r="D107" s="720">
        <f>C_6817_CARN2</f>
        <v>0</v>
      </c>
      <c r="E107" s="720">
        <f>C_6817_BEXN1</f>
        <v>0</v>
      </c>
      <c r="F107" s="553">
        <f>C_6817_BPPN0-G107</f>
        <v>0</v>
      </c>
      <c r="G107" s="553">
        <f>C_6817_MSNN0</f>
        <v>0</v>
      </c>
      <c r="H107" s="486">
        <f t="shared" si="6"/>
        <v>0</v>
      </c>
      <c r="I107" s="526"/>
      <c r="J107" s="554">
        <f>C_6817_BEXN0</f>
        <v>0</v>
      </c>
    </row>
    <row r="108" spans="1:10" s="129" customFormat="1" ht="20.25">
      <c r="A108" s="318">
        <v>686</v>
      </c>
      <c r="B108" s="127"/>
      <c r="C108" s="139" t="s">
        <v>24</v>
      </c>
      <c r="D108" s="720">
        <f>C_686_CARN2</f>
        <v>0</v>
      </c>
      <c r="E108" s="720">
        <f>C_686_BEXN1</f>
        <v>0</v>
      </c>
      <c r="F108" s="553">
        <f>C_686_BPPN0-G108</f>
        <v>0</v>
      </c>
      <c r="G108" s="553">
        <f>C_686_MSNN0</f>
        <v>0</v>
      </c>
      <c r="H108" s="486">
        <f t="shared" si="6"/>
        <v>0</v>
      </c>
      <c r="I108" s="526"/>
      <c r="J108" s="554">
        <f>C_686_BEXN0</f>
        <v>0</v>
      </c>
    </row>
    <row r="109" spans="1:10" s="129" customFormat="1" ht="20.25">
      <c r="A109" s="318">
        <v>687</v>
      </c>
      <c r="B109" s="127"/>
      <c r="C109" s="142" t="s">
        <v>23</v>
      </c>
      <c r="D109" s="720">
        <f>C_687_CARN2</f>
        <v>0</v>
      </c>
      <c r="E109" s="720">
        <f>C_687_BEXN1</f>
        <v>0</v>
      </c>
      <c r="F109" s="553">
        <f>C_687_BPPN0-G109</f>
        <v>0</v>
      </c>
      <c r="G109" s="553">
        <f>C_687_MSNN0</f>
        <v>0</v>
      </c>
      <c r="H109" s="486">
        <f t="shared" si="6"/>
        <v>0</v>
      </c>
      <c r="I109" s="526"/>
      <c r="J109" s="554">
        <f>C_687_BEXN0</f>
        <v>0</v>
      </c>
    </row>
    <row r="110" spans="1:10" s="129" customFormat="1" ht="20.25">
      <c r="A110" s="318">
        <v>6871</v>
      </c>
      <c r="B110" s="127"/>
      <c r="C110" s="636" t="s">
        <v>233</v>
      </c>
      <c r="D110" s="721">
        <f>C_6871_CARN2</f>
        <v>0</v>
      </c>
      <c r="E110" s="721">
        <f>C_6871_BEXN1</f>
        <v>0</v>
      </c>
      <c r="F110" s="609">
        <f>C_6871_BPPN0-G110</f>
        <v>0</v>
      </c>
      <c r="G110" s="609">
        <f>C_6871_MSNN0</f>
        <v>0</v>
      </c>
      <c r="H110" s="488">
        <f t="shared" si="6"/>
        <v>0</v>
      </c>
      <c r="I110" s="526"/>
      <c r="J110" s="633">
        <f>C_6871_BEXN0</f>
        <v>0</v>
      </c>
    </row>
    <row r="111" spans="1:10" s="129" customFormat="1" ht="16.5" customHeight="1">
      <c r="A111" s="318">
        <v>68725</v>
      </c>
      <c r="B111" s="127"/>
      <c r="C111" s="142" t="s">
        <v>234</v>
      </c>
      <c r="D111" s="720">
        <f>C_68725_CARN2</f>
        <v>0</v>
      </c>
      <c r="E111" s="720">
        <f>C_68725_BEXN1</f>
        <v>0</v>
      </c>
      <c r="F111" s="553">
        <f>C_68725_BPPN0-G111</f>
        <v>0</v>
      </c>
      <c r="G111" s="553">
        <f>C_68725_MSNN0</f>
        <v>0</v>
      </c>
      <c r="H111" s="684">
        <f t="shared" si="6"/>
        <v>0</v>
      </c>
      <c r="I111" s="526"/>
      <c r="J111" s="553">
        <f>C_68725_BEXN0</f>
        <v>0</v>
      </c>
    </row>
    <row r="112" spans="1:10" s="129" customFormat="1" ht="36.75" customHeight="1">
      <c r="A112" s="318">
        <v>68741</v>
      </c>
      <c r="B112" s="127"/>
      <c r="C112" s="653" t="s">
        <v>235</v>
      </c>
      <c r="D112" s="722">
        <f>C_68741_CARN2</f>
        <v>0</v>
      </c>
      <c r="E112" s="722">
        <f>C_68741_BEXN1</f>
        <v>0</v>
      </c>
      <c r="F112" s="652">
        <f>C_68741_BPPN0-G112</f>
        <v>0</v>
      </c>
      <c r="G112" s="632">
        <f>C_68741_MSNN0</f>
        <v>0</v>
      </c>
      <c r="H112" s="684">
        <f t="shared" si="6"/>
        <v>0</v>
      </c>
      <c r="I112" s="651"/>
      <c r="J112" s="635">
        <f>C_68741_BEXN0</f>
        <v>0</v>
      </c>
    </row>
    <row r="113" spans="1:10" s="129" customFormat="1" ht="37.5">
      <c r="A113" s="318">
        <v>68742</v>
      </c>
      <c r="B113" s="634"/>
      <c r="C113" s="659" t="s">
        <v>236</v>
      </c>
      <c r="D113" s="722">
        <f>C_68742_CARN2</f>
        <v>0</v>
      </c>
      <c r="E113" s="722">
        <f>C_68742_BEXN1</f>
        <v>0</v>
      </c>
      <c r="F113" s="609">
        <f>C_68742_BPPN0-G113</f>
        <v>0</v>
      </c>
      <c r="G113" s="632">
        <f>C_68742_MSNN0</f>
        <v>0</v>
      </c>
      <c r="H113" s="684">
        <f t="shared" si="6"/>
        <v>0</v>
      </c>
      <c r="I113" s="526"/>
      <c r="J113" s="635">
        <f>C_68742_BEXN0</f>
        <v>0</v>
      </c>
    </row>
    <row r="114" spans="1:10" s="129" customFormat="1" ht="37.5">
      <c r="A114" s="318">
        <v>687461</v>
      </c>
      <c r="B114" s="634"/>
      <c r="C114" s="659" t="s">
        <v>237</v>
      </c>
      <c r="D114" s="722">
        <f>C_687461_CARN2</f>
        <v>0</v>
      </c>
      <c r="E114" s="722">
        <f>C_687461_BEXN1</f>
        <v>0</v>
      </c>
      <c r="F114" s="609">
        <f>C_687461_BPPN0-G114</f>
        <v>0</v>
      </c>
      <c r="G114" s="632">
        <f>C_687461_MSNN0</f>
        <v>0</v>
      </c>
      <c r="H114" s="684">
        <f t="shared" si="6"/>
        <v>0</v>
      </c>
      <c r="I114" s="526"/>
      <c r="J114" s="635">
        <f>C_687461_BEXN0</f>
        <v>0</v>
      </c>
    </row>
    <row r="115" spans="1:10" s="129" customFormat="1" ht="37.5">
      <c r="A115" s="318">
        <v>687462</v>
      </c>
      <c r="B115" s="634"/>
      <c r="C115" s="659" t="s">
        <v>238</v>
      </c>
      <c r="D115" s="722">
        <f>C_687462_CARN2</f>
        <v>0</v>
      </c>
      <c r="E115" s="722">
        <f>C_687462_BEXN1</f>
        <v>0</v>
      </c>
      <c r="F115" s="609">
        <f>C_687462_BPPN0-G115</f>
        <v>0</v>
      </c>
      <c r="G115" s="632">
        <f>C_687462_MSNN0</f>
        <v>0</v>
      </c>
      <c r="H115" s="684">
        <f t="shared" si="6"/>
        <v>0</v>
      </c>
      <c r="I115" s="526"/>
      <c r="J115" s="635">
        <f>C_687462_BEXN0</f>
        <v>0</v>
      </c>
    </row>
    <row r="116" spans="1:10" s="129" customFormat="1" ht="20.25">
      <c r="A116" s="318">
        <v>68748</v>
      </c>
      <c r="B116" s="127"/>
      <c r="C116" s="143" t="s">
        <v>239</v>
      </c>
      <c r="D116" s="719">
        <f>C_68748_CARN2</f>
        <v>0</v>
      </c>
      <c r="E116" s="719">
        <f>C_68748_BEXN1</f>
        <v>0</v>
      </c>
      <c r="F116" s="609">
        <f>C_68748_BPPN0-G116</f>
        <v>0</v>
      </c>
      <c r="G116" s="553">
        <f>C_68748_MSNN0</f>
        <v>0</v>
      </c>
      <c r="H116" s="486">
        <f t="shared" si="6"/>
        <v>0</v>
      </c>
      <c r="I116" s="526"/>
      <c r="J116" s="554">
        <f>C_68748_BEXN0</f>
        <v>0</v>
      </c>
    </row>
    <row r="117" spans="1:10" s="129" customFormat="1" ht="20.25">
      <c r="A117" s="318">
        <v>6876</v>
      </c>
      <c r="B117" s="127"/>
      <c r="C117" s="143" t="s">
        <v>240</v>
      </c>
      <c r="D117" s="719">
        <f>C_6876_CARN2</f>
        <v>0</v>
      </c>
      <c r="E117" s="719">
        <f>C_6876_BEXN1</f>
        <v>0</v>
      </c>
      <c r="F117" s="609">
        <f>C_6876_BPPN0-G117</f>
        <v>0</v>
      </c>
      <c r="G117" s="553">
        <f>C_6876_MSNN0</f>
        <v>0</v>
      </c>
      <c r="H117" s="486">
        <f t="shared" si="6"/>
        <v>0</v>
      </c>
      <c r="I117" s="526"/>
      <c r="J117" s="554">
        <f>C_6876_BEXN0</f>
        <v>0</v>
      </c>
    </row>
    <row r="118" spans="1:10" s="129" customFormat="1" ht="20.25">
      <c r="A118" s="318">
        <v>689</v>
      </c>
      <c r="B118" s="127"/>
      <c r="C118" s="143" t="s">
        <v>241</v>
      </c>
      <c r="D118" s="719">
        <f>C_689_CARN2</f>
        <v>0</v>
      </c>
      <c r="E118" s="720">
        <f>C_689_BEXN1</f>
        <v>0</v>
      </c>
      <c r="F118" s="553">
        <f>C_689_BPPN0-G118</f>
        <v>0</v>
      </c>
      <c r="G118" s="553">
        <f>C_689_MSNN0</f>
        <v>0</v>
      </c>
      <c r="H118" s="486">
        <f t="shared" si="6"/>
        <v>0</v>
      </c>
      <c r="I118" s="526"/>
      <c r="J118" s="554">
        <f>C_689_BEXN0</f>
        <v>0</v>
      </c>
    </row>
    <row r="119" spans="1:10" s="129" customFormat="1" ht="37.5">
      <c r="A119" s="318">
        <v>6894</v>
      </c>
      <c r="B119" s="127"/>
      <c r="C119" s="660" t="s">
        <v>242</v>
      </c>
      <c r="D119" s="719">
        <f>C_6894_CARN2</f>
        <v>0</v>
      </c>
      <c r="E119" s="720">
        <f>C_6894_BEXN1</f>
        <v>0</v>
      </c>
      <c r="F119" s="553">
        <f>C_6894_BPPN0-G119</f>
        <v>0</v>
      </c>
      <c r="G119" s="553">
        <f>C_6894_MSNN0</f>
        <v>0</v>
      </c>
      <c r="H119" s="486">
        <f t="shared" si="6"/>
        <v>0</v>
      </c>
      <c r="I119" s="526"/>
      <c r="J119" s="554">
        <f>C_6894_BEXN0</f>
        <v>0</v>
      </c>
    </row>
    <row r="120" spans="1:10" s="129" customFormat="1" ht="37.5">
      <c r="A120" s="318">
        <v>6895</v>
      </c>
      <c r="B120" s="127"/>
      <c r="C120" s="660" t="s">
        <v>243</v>
      </c>
      <c r="D120" s="719">
        <f>C_6895_CARN2</f>
        <v>0</v>
      </c>
      <c r="E120" s="720">
        <f>C_6895_BEXN1</f>
        <v>0</v>
      </c>
      <c r="F120" s="553">
        <f>C_6895_BPPN0-G120</f>
        <v>0</v>
      </c>
      <c r="G120" s="553">
        <f>C_6895_MSNN0</f>
        <v>0</v>
      </c>
      <c r="H120" s="486">
        <f t="shared" si="6"/>
        <v>0</v>
      </c>
      <c r="I120" s="526"/>
      <c r="J120" s="554">
        <f>C_6895_BEXN0</f>
        <v>0</v>
      </c>
    </row>
    <row r="121" spans="1:10" s="129" customFormat="1" ht="37.5">
      <c r="A121" s="318">
        <v>6897</v>
      </c>
      <c r="B121" s="127"/>
      <c r="C121" s="660" t="s">
        <v>244</v>
      </c>
      <c r="D121" s="719">
        <f>C_6897_CARN2</f>
        <v>0</v>
      </c>
      <c r="E121" s="720">
        <f>C_6897_BEXN1</f>
        <v>0</v>
      </c>
      <c r="F121" s="553">
        <f>C_6897_BPPN0-G121</f>
        <v>0</v>
      </c>
      <c r="G121" s="553">
        <f>C_6897_MSNN0</f>
        <v>0</v>
      </c>
      <c r="H121" s="486">
        <f t="shared" si="6"/>
        <v>0</v>
      </c>
      <c r="I121" s="527"/>
      <c r="J121" s="554">
        <f>C_6897_BEXN0</f>
        <v>0</v>
      </c>
    </row>
    <row r="122" spans="1:10" s="129" customFormat="1" ht="9" customHeight="1" thickBot="1">
      <c r="A122" s="134"/>
      <c r="B122" s="135"/>
      <c r="C122" s="135"/>
      <c r="D122" s="489"/>
      <c r="E122" s="490"/>
      <c r="F122" s="490"/>
      <c r="G122" s="490"/>
      <c r="H122" s="490"/>
      <c r="I122" s="538"/>
      <c r="J122" s="490"/>
    </row>
    <row r="123" spans="1:10" s="144" customFormat="1" ht="24" customHeight="1" thickBot="1" thickTop="1">
      <c r="A123" s="134"/>
      <c r="B123" s="801"/>
      <c r="C123" s="806" t="s">
        <v>152</v>
      </c>
      <c r="D123" s="427">
        <f>SUM(D68:D109,D118)</f>
        <v>0</v>
      </c>
      <c r="E123" s="427">
        <f>SUM(E68:E109,E118)</f>
        <v>0</v>
      </c>
      <c r="F123" s="427">
        <f>SUM(F68:F109,F118)</f>
        <v>0</v>
      </c>
      <c r="G123" s="427">
        <f>SUM(G68:G109,G118)</f>
        <v>0</v>
      </c>
      <c r="H123" s="427">
        <f>F123+G123</f>
        <v>0</v>
      </c>
      <c r="I123" s="550">
        <f>+FGROUPE3_Budgetret</f>
        <v>0</v>
      </c>
      <c r="J123" s="427">
        <f>SUM(J68:J109,J118)</f>
        <v>0</v>
      </c>
    </row>
    <row r="124" spans="1:10" s="148" customFormat="1" ht="9" customHeight="1" thickBot="1" thickTop="1">
      <c r="A124" s="145"/>
      <c r="B124" s="146"/>
      <c r="C124" s="147"/>
      <c r="D124" s="407"/>
      <c r="E124" s="407"/>
      <c r="F124" s="407"/>
      <c r="G124" s="407"/>
      <c r="H124" s="407"/>
      <c r="I124" s="407"/>
      <c r="J124" s="407"/>
    </row>
    <row r="125" spans="1:10" s="144" customFormat="1" ht="39" customHeight="1" thickBot="1" thickTop="1">
      <c r="A125" s="134"/>
      <c r="B125" s="807"/>
      <c r="C125" s="808" t="s">
        <v>153</v>
      </c>
      <c r="D125" s="427">
        <f>D123+D61+D38</f>
        <v>0</v>
      </c>
      <c r="E125" s="427">
        <f>E123+E61+E38</f>
        <v>0</v>
      </c>
      <c r="F125" s="427">
        <f>H125-G125</f>
        <v>0</v>
      </c>
      <c r="G125" s="427">
        <f>G123+G61+G38</f>
        <v>0</v>
      </c>
      <c r="H125" s="427">
        <f>H123+H61+H38</f>
        <v>0</v>
      </c>
      <c r="I125" s="427">
        <f>I123+I61+I38</f>
        <v>0</v>
      </c>
      <c r="J125" s="427">
        <f>J123+J61+J38</f>
        <v>0</v>
      </c>
    </row>
    <row r="126" spans="1:10" ht="4.5" customHeight="1" thickTop="1">
      <c r="A126" s="356"/>
      <c r="B126" s="357"/>
      <c r="C126" s="359"/>
      <c r="D126" s="443"/>
      <c r="E126" s="443"/>
      <c r="F126" s="443"/>
      <c r="G126" s="443"/>
      <c r="H126" s="443"/>
      <c r="I126" s="443"/>
      <c r="J126" s="443"/>
    </row>
    <row r="127" spans="1:10" s="144" customFormat="1" ht="24" customHeight="1">
      <c r="A127" s="134"/>
      <c r="B127" s="149"/>
      <c r="C127" s="150"/>
      <c r="D127" s="600" t="s">
        <v>154</v>
      </c>
      <c r="E127" s="601" t="s">
        <v>155</v>
      </c>
      <c r="F127" s="670"/>
      <c r="G127" s="670"/>
      <c r="H127" s="861" t="s">
        <v>247</v>
      </c>
      <c r="I127" s="861"/>
      <c r="J127" s="861"/>
    </row>
    <row r="128" spans="1:10" ht="19.5">
      <c r="A128" s="384" t="s">
        <v>156</v>
      </c>
      <c r="B128" s="385"/>
      <c r="C128" s="151" t="s">
        <v>157</v>
      </c>
      <c r="D128" s="555">
        <f>DeficCARN2+IF(RESREPRISCARN2&lt;0,ABS(RESREPRISCARN2),0)</f>
        <v>0</v>
      </c>
      <c r="E128" s="555">
        <f>DeficBEXN1+IF(RESREPRISBEXN1&lt;0,ABS(RESREPRISBEXN1),0)</f>
        <v>0</v>
      </c>
      <c r="F128" s="664">
        <f>DeficBPPN0+IF(RESREPRISBPPN0&lt;0,ABS(RESREPRISBPPN0),0)-(DeficMSNN0+IF(RESREPRISMSNN0&lt;0,ABS(RESREPRISMSNN0),0))</f>
        <v>0</v>
      </c>
      <c r="G128" s="664">
        <f>DeficMSNN0+IF(RESREPRISMSNN0&lt;0,ABS(RESREPRISMSNN0),0)</f>
        <v>0</v>
      </c>
      <c r="H128" s="555">
        <f>F128+G128</f>
        <v>0</v>
      </c>
      <c r="I128" s="547">
        <f>DeficBRN0+IF(RESREPRISBRN0&lt;0,ABS(RESREPRISBRN0),0)</f>
        <v>0</v>
      </c>
      <c r="J128" s="547">
        <f>DeficBEXN0</f>
        <v>0</v>
      </c>
    </row>
    <row r="129" spans="1:10" ht="19.5">
      <c r="A129" s="384" t="s">
        <v>245</v>
      </c>
      <c r="B129" s="385"/>
      <c r="C129" s="665" t="s">
        <v>246</v>
      </c>
      <c r="D129" s="555">
        <f>IF(RTDOT1161CARN2&lt;0,ABS(RTDOT1161CARN2),0)</f>
        <v>0</v>
      </c>
      <c r="E129" s="555">
        <f>IF(RTDOT1161BEXN1&lt;0,ABS(RTDOT1161BEXN1),0)</f>
        <v>0</v>
      </c>
      <c r="F129" s="661">
        <f>IF(RTDOT1161BPPN0&lt;0,ABS(RTDOT1161BPPN0),0)-(IF(RTDOT1161MSNN0&lt;0,ABS(RTDOT1161MSNN0),0))</f>
        <v>0</v>
      </c>
      <c r="G129" s="661">
        <f>IF(RTDOT1161MSNN0&lt;0,ABS(RTDOT1161MSNN0),0)</f>
        <v>0</v>
      </c>
      <c r="H129" s="555">
        <f>F129+G129</f>
        <v>0</v>
      </c>
      <c r="I129" s="547">
        <f>IF(RTDOT1161BRN0&lt;0,ABS(RTDOT1161BRN0),0)</f>
        <v>0</v>
      </c>
      <c r="J129" s="547">
        <f>IF(RTDOT1161BEXN0&lt;0,ABS(RTDOT1161BEXN0),0)</f>
        <v>0</v>
      </c>
    </row>
    <row r="130" spans="1:10" ht="20.25" thickBot="1">
      <c r="A130" s="662"/>
      <c r="B130" s="663"/>
      <c r="C130" s="666"/>
      <c r="D130" s="667"/>
      <c r="E130" s="667"/>
      <c r="F130" s="668"/>
      <c r="G130" s="668"/>
      <c r="H130" s="669"/>
      <c r="I130" s="667"/>
      <c r="J130" s="667"/>
    </row>
    <row r="131" spans="1:10" s="144" customFormat="1" ht="27" thickBot="1" thickTop="1">
      <c r="A131" s="134"/>
      <c r="B131" s="807"/>
      <c r="C131" s="808" t="s">
        <v>158</v>
      </c>
      <c r="D131" s="429">
        <f>D125+D128+D129</f>
        <v>0</v>
      </c>
      <c r="E131" s="429">
        <f aca="true" t="shared" si="7" ref="E131:J131">E125+E128+E129</f>
        <v>0</v>
      </c>
      <c r="F131" s="596">
        <f t="shared" si="7"/>
        <v>0</v>
      </c>
      <c r="G131" s="596">
        <f t="shared" si="7"/>
        <v>0</v>
      </c>
      <c r="H131" s="596">
        <f t="shared" si="7"/>
        <v>0</v>
      </c>
      <c r="I131" s="429">
        <f t="shared" si="7"/>
        <v>0</v>
      </c>
      <c r="J131" s="430">
        <f t="shared" si="7"/>
        <v>0</v>
      </c>
    </row>
    <row r="132" ht="3" customHeight="1" thickTop="1"/>
  </sheetData>
  <sheetProtection password="B34F" sheet="1" formatCells="0" formatColumns="0" formatRows="0"/>
  <mergeCells count="3">
    <mergeCell ref="A3:J3"/>
    <mergeCell ref="A4:J4"/>
    <mergeCell ref="H127:J127"/>
  </mergeCells>
  <printOptions horizontalCentered="1"/>
  <pageMargins left="0.3937007874015748" right="0.3937007874015748" top="0.3937007874015748" bottom="0.3937007874015748" header="0.1968503937007874" footer="0.1968503937007874"/>
  <pageSetup firstPageNumber="4" useFirstPageNumber="1" fitToHeight="3" orientation="landscape" paperSize="9" scale="48" r:id="rId2"/>
  <headerFooter alignWithMargins="0">
    <oddHeader>&amp;L&amp;"Arial,Gras"&amp;14ANNEXE 1-2 . 1 :  Charges de la section d'exploitation</oddHeader>
  </headerFooter>
  <rowBreaks count="2" manualBreakCount="2">
    <brk id="42" max="9" man="1"/>
    <brk id="8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123"/>
  <sheetViews>
    <sheetView showZeros="0" zoomScale="70" zoomScaleNormal="70" zoomScaleSheetLayoutView="55" zoomScalePageLayoutView="0" workbookViewId="0" topLeftCell="A1">
      <selection activeCell="D7" sqref="D7"/>
    </sheetView>
  </sheetViews>
  <sheetFormatPr defaultColWidth="11.421875" defaultRowHeight="12.75"/>
  <cols>
    <col min="1" max="1" width="10.57421875" style="204" customWidth="1"/>
    <col min="2" max="2" width="1.1484375" style="204" customWidth="1"/>
    <col min="3" max="3" width="84.8515625" style="205" customWidth="1"/>
    <col min="4" max="4" width="18.8515625" style="517" customWidth="1"/>
    <col min="5" max="5" width="18.140625" style="517" customWidth="1"/>
    <col min="6" max="8" width="17.421875" style="517" customWidth="1"/>
    <col min="9" max="9" width="17.00390625" style="517" customWidth="1"/>
    <col min="10" max="10" width="16.00390625" style="517" customWidth="1"/>
    <col min="11" max="11" width="41.8515625" style="168" customWidth="1"/>
    <col min="12" max="16384" width="11.421875" style="168" customWidth="1"/>
  </cols>
  <sheetData>
    <row r="1" spans="1:11" s="152" customFormat="1" ht="23.25" customHeight="1">
      <c r="A1" s="855" t="s">
        <v>50</v>
      </c>
      <c r="B1" s="856"/>
      <c r="C1" s="856"/>
      <c r="D1" s="856"/>
      <c r="E1" s="856"/>
      <c r="F1" s="856"/>
      <c r="G1" s="856"/>
      <c r="H1" s="856"/>
      <c r="I1" s="856"/>
      <c r="J1" s="857"/>
      <c r="K1" s="288"/>
    </row>
    <row r="2" spans="1:11" s="152" customFormat="1" ht="24" thickBot="1">
      <c r="A2" s="858" t="s">
        <v>159</v>
      </c>
      <c r="B2" s="859"/>
      <c r="C2" s="859"/>
      <c r="D2" s="859"/>
      <c r="E2" s="859"/>
      <c r="F2" s="859"/>
      <c r="G2" s="859"/>
      <c r="H2" s="859"/>
      <c r="I2" s="859"/>
      <c r="J2" s="860"/>
      <c r="K2" s="288"/>
    </row>
    <row r="3" spans="1:10" s="152" customFormat="1" ht="26.25">
      <c r="A3" s="350"/>
      <c r="B3" s="351"/>
      <c r="C3" s="352"/>
      <c r="D3" s="444"/>
      <c r="E3" s="444"/>
      <c r="F3" s="444"/>
      <c r="G3" s="444"/>
      <c r="H3" s="444"/>
      <c r="I3" s="444"/>
      <c r="J3" s="444"/>
    </row>
    <row r="4" spans="1:10" s="154" customFormat="1" ht="39" customHeight="1">
      <c r="A4" s="153"/>
      <c r="B4" s="809"/>
      <c r="C4" s="810" t="s">
        <v>383</v>
      </c>
      <c r="D4" s="445"/>
      <c r="E4" s="445"/>
      <c r="F4" s="445"/>
      <c r="G4" s="445"/>
      <c r="H4" s="445"/>
      <c r="I4" s="446"/>
      <c r="J4" s="446"/>
    </row>
    <row r="5" spans="1:10" s="155" customFormat="1" ht="30.75" customHeight="1">
      <c r="A5" s="156"/>
      <c r="B5" s="156"/>
      <c r="C5" s="157"/>
      <c r="D5" s="445"/>
      <c r="E5" s="445"/>
      <c r="F5" s="445"/>
      <c r="G5" s="445"/>
      <c r="H5" s="445"/>
      <c r="I5" s="447"/>
      <c r="J5" s="447"/>
    </row>
    <row r="6" spans="1:10" s="155" customFormat="1" ht="24.75" customHeight="1">
      <c r="A6" s="158"/>
      <c r="B6" s="158"/>
      <c r="C6" s="159"/>
      <c r="D6" s="448" t="s">
        <v>52</v>
      </c>
      <c r="E6" s="448" t="s">
        <v>53</v>
      </c>
      <c r="F6" s="448" t="s">
        <v>54</v>
      </c>
      <c r="G6" s="448" t="s">
        <v>81</v>
      </c>
      <c r="H6" s="448" t="s">
        <v>82</v>
      </c>
      <c r="I6" s="448" t="s">
        <v>57</v>
      </c>
      <c r="J6" s="492" t="s">
        <v>58</v>
      </c>
    </row>
    <row r="7" spans="1:11" s="161" customFormat="1" ht="26.25" customHeight="1">
      <c r="A7" s="321">
        <v>731</v>
      </c>
      <c r="B7" s="289"/>
      <c r="C7" s="160" t="s">
        <v>248</v>
      </c>
      <c r="D7" s="718">
        <f>C_731_CARN2</f>
        <v>0</v>
      </c>
      <c r="E7" s="718">
        <f>C_731_BEXN1</f>
        <v>0</v>
      </c>
      <c r="F7" s="556">
        <f>C_731_BPPN0-G7</f>
        <v>0</v>
      </c>
      <c r="G7" s="556">
        <f>C_731_MSNN0</f>
        <v>0</v>
      </c>
      <c r="H7" s="440">
        <f>F7+G7</f>
        <v>0</v>
      </c>
      <c r="I7" s="528"/>
      <c r="J7" s="556">
        <f>C_731_BEXN0</f>
        <v>0</v>
      </c>
      <c r="K7" s="290"/>
    </row>
    <row r="8" spans="1:11" s="161" customFormat="1" ht="26.25" customHeight="1">
      <c r="A8" s="321">
        <v>732</v>
      </c>
      <c r="B8" s="289"/>
      <c r="C8" s="160" t="s">
        <v>249</v>
      </c>
      <c r="D8" s="718">
        <f>C_732_CARN2</f>
        <v>0</v>
      </c>
      <c r="E8" s="718">
        <f>C_732_BEXN1</f>
        <v>0</v>
      </c>
      <c r="F8" s="556">
        <f>C_732_BPPN0-G8</f>
        <v>0</v>
      </c>
      <c r="G8" s="556">
        <f>C_732_MSNN0</f>
        <v>0</v>
      </c>
      <c r="H8" s="440">
        <f aca="true" t="shared" si="0" ref="H8:H13">F8+G8</f>
        <v>0</v>
      </c>
      <c r="I8" s="529"/>
      <c r="J8" s="556">
        <f>C_732_BEXN0</f>
        <v>0</v>
      </c>
      <c r="K8" s="290"/>
    </row>
    <row r="9" spans="1:11" s="161" customFormat="1" ht="26.25" customHeight="1">
      <c r="A9" s="321">
        <v>733</v>
      </c>
      <c r="B9" s="289"/>
      <c r="C9" s="160" t="s">
        <v>250</v>
      </c>
      <c r="D9" s="718">
        <f>C_733_CARN2</f>
        <v>0</v>
      </c>
      <c r="E9" s="718">
        <f>C_733_BEXN1</f>
        <v>0</v>
      </c>
      <c r="F9" s="556">
        <f>C_733_BPPN0-G9</f>
        <v>0</v>
      </c>
      <c r="G9" s="556">
        <f>C_733_MSNN0</f>
        <v>0</v>
      </c>
      <c r="H9" s="440">
        <f t="shared" si="0"/>
        <v>0</v>
      </c>
      <c r="I9" s="529"/>
      <c r="J9" s="556">
        <f>C_733_BEXN0</f>
        <v>0</v>
      </c>
      <c r="K9" s="290"/>
    </row>
    <row r="10" spans="1:11" s="161" customFormat="1" ht="16.5" customHeight="1">
      <c r="A10" s="322">
        <v>734</v>
      </c>
      <c r="B10" s="289"/>
      <c r="C10" s="162" t="s">
        <v>251</v>
      </c>
      <c r="D10" s="718">
        <f>C_734_CARN2</f>
        <v>0</v>
      </c>
      <c r="E10" s="718">
        <f>C_734_BEXN1</f>
        <v>0</v>
      </c>
      <c r="F10" s="556">
        <f>C_734_BPPN0-G10</f>
        <v>0</v>
      </c>
      <c r="G10" s="556">
        <f>C_734_MSNN0</f>
        <v>0</v>
      </c>
      <c r="H10" s="440">
        <f t="shared" si="0"/>
        <v>0</v>
      </c>
      <c r="I10" s="529"/>
      <c r="J10" s="556">
        <f>C_734_BEXN0</f>
        <v>0</v>
      </c>
      <c r="K10" s="290"/>
    </row>
    <row r="11" spans="1:11" s="161" customFormat="1" ht="16.5" customHeight="1">
      <c r="A11" s="322">
        <v>735</v>
      </c>
      <c r="B11" s="289"/>
      <c r="C11" s="162" t="s">
        <v>252</v>
      </c>
      <c r="D11" s="718">
        <f>C_735_CARN2</f>
        <v>0</v>
      </c>
      <c r="E11" s="718">
        <f>C_735_BEXN1</f>
        <v>0</v>
      </c>
      <c r="F11" s="556">
        <f>C_735_BPPN0-G11</f>
        <v>0</v>
      </c>
      <c r="G11" s="556">
        <f>C_735_MSNN0</f>
        <v>0</v>
      </c>
      <c r="H11" s="440">
        <f t="shared" si="0"/>
        <v>0</v>
      </c>
      <c r="I11" s="529"/>
      <c r="J11" s="556">
        <f>C_735_BEXN0</f>
        <v>0</v>
      </c>
      <c r="K11" s="290"/>
    </row>
    <row r="12" spans="1:11" s="161" customFormat="1" ht="16.5" customHeight="1">
      <c r="A12" s="322">
        <v>7351</v>
      </c>
      <c r="B12" s="289"/>
      <c r="C12" s="162" t="s">
        <v>253</v>
      </c>
      <c r="D12" s="718">
        <f>C_7351_CARN2</f>
        <v>0</v>
      </c>
      <c r="E12" s="718">
        <f>C_7351_BEXN1</f>
        <v>0</v>
      </c>
      <c r="F12" s="556">
        <f>C_7351_BPPN0-G12</f>
        <v>0</v>
      </c>
      <c r="G12" s="556">
        <f>C_7351_MSNN0</f>
        <v>0</v>
      </c>
      <c r="H12" s="440">
        <f t="shared" si="0"/>
        <v>0</v>
      </c>
      <c r="I12" s="529"/>
      <c r="J12" s="556">
        <f>C_7351_BEXN0</f>
        <v>0</v>
      </c>
      <c r="K12" s="290"/>
    </row>
    <row r="13" spans="1:11" s="161" customFormat="1" ht="16.5" customHeight="1">
      <c r="A13" s="322">
        <v>7352</v>
      </c>
      <c r="B13" s="289"/>
      <c r="C13" s="162" t="s">
        <v>254</v>
      </c>
      <c r="D13" s="556">
        <f>C_7352_CARN2</f>
        <v>0</v>
      </c>
      <c r="E13" s="556">
        <f>C_7352_BEXN1</f>
        <v>0</v>
      </c>
      <c r="F13" s="556">
        <f>C_7352_BPPN0-G13</f>
        <v>0</v>
      </c>
      <c r="G13" s="556">
        <f>C_7352_MSNN0</f>
        <v>0</v>
      </c>
      <c r="H13" s="440">
        <f t="shared" si="0"/>
        <v>0</v>
      </c>
      <c r="I13" s="529"/>
      <c r="J13" s="556">
        <f>C_7352_BEXN0</f>
        <v>0</v>
      </c>
      <c r="K13" s="290"/>
    </row>
    <row r="14" spans="1:11" s="163" customFormat="1" ht="16.5" customHeight="1">
      <c r="A14" s="322">
        <v>7353</v>
      </c>
      <c r="B14" s="289"/>
      <c r="C14" s="162" t="s">
        <v>255</v>
      </c>
      <c r="D14" s="556">
        <f>C_7353_CARN2</f>
        <v>0</v>
      </c>
      <c r="E14" s="556">
        <f>C_7353_BEXN1</f>
        <v>0</v>
      </c>
      <c r="F14" s="556">
        <f>C_7353_BPPN0-G14</f>
        <v>0</v>
      </c>
      <c r="G14" s="556">
        <f>C_7353_MSNN0</f>
        <v>0</v>
      </c>
      <c r="H14" s="440">
        <f>F14+G14</f>
        <v>0</v>
      </c>
      <c r="I14" s="529"/>
      <c r="J14" s="556">
        <f>C_7353_BEXN0</f>
        <v>0</v>
      </c>
      <c r="K14" s="290"/>
    </row>
    <row r="15" spans="1:11" s="163" customFormat="1" ht="16.5" customHeight="1">
      <c r="A15" s="322">
        <v>738</v>
      </c>
      <c r="B15" s="289"/>
      <c r="C15" s="162" t="s">
        <v>256</v>
      </c>
      <c r="D15" s="556">
        <f>C_738_CARN2</f>
        <v>0</v>
      </c>
      <c r="E15" s="556">
        <f>C_738_BEXN1</f>
        <v>0</v>
      </c>
      <c r="F15" s="556">
        <f>C_738_BPPN0-G15</f>
        <v>0</v>
      </c>
      <c r="G15" s="556">
        <f>C_738_MSNN0</f>
        <v>0</v>
      </c>
      <c r="H15" s="440">
        <f>F15+G15</f>
        <v>0</v>
      </c>
      <c r="I15" s="530"/>
      <c r="J15" s="556">
        <f>C_738_BEXN0</f>
        <v>0</v>
      </c>
      <c r="K15" s="290"/>
    </row>
    <row r="16" spans="1:11" s="163" customFormat="1" ht="9" customHeight="1" thickBot="1">
      <c r="A16" s="164"/>
      <c r="B16" s="164"/>
      <c r="C16" s="165"/>
      <c r="D16" s="320"/>
      <c r="E16" s="320"/>
      <c r="F16" s="320"/>
      <c r="G16" s="320"/>
      <c r="H16" s="441"/>
      <c r="I16" s="320"/>
      <c r="J16" s="320"/>
      <c r="K16" s="291"/>
    </row>
    <row r="17" spans="1:11" s="167" customFormat="1" ht="24" customHeight="1" thickBot="1" thickTop="1">
      <c r="A17" s="166"/>
      <c r="B17" s="811"/>
      <c r="C17" s="812" t="s">
        <v>110</v>
      </c>
      <c r="D17" s="431">
        <f>SUM(D7:D11,D15)</f>
        <v>0</v>
      </c>
      <c r="E17" s="431">
        <f>SUM(E7:E11,E15)</f>
        <v>0</v>
      </c>
      <c r="F17" s="431">
        <f>SUM(F7:F11,F15)</f>
        <v>0</v>
      </c>
      <c r="G17" s="431">
        <f>SUM(G7:G11,G15)</f>
        <v>0</v>
      </c>
      <c r="H17" s="431">
        <f>F17+G17</f>
        <v>0</v>
      </c>
      <c r="I17" s="557">
        <f>FGROUPE1PRO_Budgetret</f>
        <v>0</v>
      </c>
      <c r="J17" s="432">
        <f>SUM(J7:J11,J15)</f>
        <v>0</v>
      </c>
      <c r="K17" s="291"/>
    </row>
    <row r="18" spans="1:11" s="169" customFormat="1" ht="27" thickTop="1">
      <c r="A18" s="353"/>
      <c r="B18" s="353"/>
      <c r="C18" s="354"/>
      <c r="D18" s="493"/>
      <c r="E18" s="493"/>
      <c r="F18" s="494"/>
      <c r="G18" s="494"/>
      <c r="H18" s="495"/>
      <c r="I18" s="494"/>
      <c r="J18" s="494"/>
      <c r="K18" s="291"/>
    </row>
    <row r="19" spans="1:11" s="169" customFormat="1" ht="26.25">
      <c r="A19" s="353"/>
      <c r="B19" s="353"/>
      <c r="C19" s="354"/>
      <c r="D19" s="445"/>
      <c r="E19" s="445"/>
      <c r="F19" s="445"/>
      <c r="G19" s="445"/>
      <c r="H19" s="463"/>
      <c r="I19" s="446"/>
      <c r="J19" s="446"/>
      <c r="K19" s="291"/>
    </row>
    <row r="20" spans="1:11" ht="26.25">
      <c r="A20" s="353"/>
      <c r="B20" s="353"/>
      <c r="C20" s="354"/>
      <c r="D20" s="445"/>
      <c r="E20" s="445"/>
      <c r="F20" s="445"/>
      <c r="G20" s="445"/>
      <c r="H20" s="463"/>
      <c r="I20" s="446"/>
      <c r="J20" s="446"/>
      <c r="K20" s="291"/>
    </row>
    <row r="21" spans="1:11" ht="20.25">
      <c r="A21" s="353"/>
      <c r="B21" s="813"/>
      <c r="C21" s="814" t="s">
        <v>384</v>
      </c>
      <c r="D21" s="445"/>
      <c r="E21" s="445"/>
      <c r="F21" s="445"/>
      <c r="G21" s="445"/>
      <c r="H21" s="463"/>
      <c r="I21" s="447"/>
      <c r="J21" s="447"/>
      <c r="K21" s="291"/>
    </row>
    <row r="22" spans="1:11" ht="26.25">
      <c r="A22" s="353"/>
      <c r="B22" s="353"/>
      <c r="C22" s="354"/>
      <c r="D22" s="448"/>
      <c r="E22" s="448"/>
      <c r="F22" s="448"/>
      <c r="G22" s="448"/>
      <c r="H22" s="496"/>
      <c r="I22" s="448"/>
      <c r="J22" s="492"/>
      <c r="K22" s="291"/>
    </row>
    <row r="23" spans="1:11" ht="26.25">
      <c r="A23" s="353"/>
      <c r="B23" s="353"/>
      <c r="C23" s="354"/>
      <c r="D23" s="448"/>
      <c r="E23" s="448"/>
      <c r="F23" s="448"/>
      <c r="G23" s="448"/>
      <c r="H23" s="496"/>
      <c r="I23" s="448"/>
      <c r="J23" s="492"/>
      <c r="K23" s="291"/>
    </row>
    <row r="24" spans="1:11" s="155" customFormat="1" ht="24.75" customHeight="1">
      <c r="A24" s="158"/>
      <c r="B24" s="158"/>
      <c r="C24" s="159"/>
      <c r="D24" s="448" t="s">
        <v>52</v>
      </c>
      <c r="E24" s="448" t="s">
        <v>53</v>
      </c>
      <c r="F24" s="448" t="s">
        <v>54</v>
      </c>
      <c r="G24" s="448" t="s">
        <v>81</v>
      </c>
      <c r="H24" s="496" t="s">
        <v>82</v>
      </c>
      <c r="I24" s="448" t="s">
        <v>57</v>
      </c>
      <c r="J24" s="492" t="s">
        <v>58</v>
      </c>
      <c r="K24" s="291"/>
    </row>
    <row r="25" spans="1:11" s="171" customFormat="1" ht="16.5" customHeight="1">
      <c r="A25" s="323">
        <v>70</v>
      </c>
      <c r="B25" s="292"/>
      <c r="C25" s="170" t="s">
        <v>25</v>
      </c>
      <c r="D25" s="718">
        <f>C_70_CARN2</f>
        <v>0</v>
      </c>
      <c r="E25" s="718">
        <f>C_70_BEXN1</f>
        <v>0</v>
      </c>
      <c r="F25" s="556">
        <f>C_70_BPPN0-G25</f>
        <v>0</v>
      </c>
      <c r="G25" s="556">
        <f>C_70_MSNN0</f>
        <v>0</v>
      </c>
      <c r="H25" s="440">
        <f aca="true" t="shared" si="1" ref="H25:H30">F25+G25</f>
        <v>0</v>
      </c>
      <c r="I25" s="528"/>
      <c r="J25" s="556">
        <f>C_70_BEXN0</f>
        <v>0</v>
      </c>
      <c r="K25" s="290"/>
    </row>
    <row r="26" spans="1:11" s="171" customFormat="1" ht="16.5" customHeight="1">
      <c r="A26" s="323">
        <v>7082</v>
      </c>
      <c r="B26" s="292"/>
      <c r="C26" s="170" t="s">
        <v>26</v>
      </c>
      <c r="D26" s="718">
        <f>C_7082_CARN2</f>
        <v>0</v>
      </c>
      <c r="E26" s="718">
        <f>C_7082_BEXN1</f>
        <v>0</v>
      </c>
      <c r="F26" s="556">
        <f>C_7082_BPPN0-G26</f>
        <v>0</v>
      </c>
      <c r="G26" s="556">
        <f>C_7082_MSNN0</f>
        <v>0</v>
      </c>
      <c r="H26" s="440">
        <f t="shared" si="1"/>
        <v>0</v>
      </c>
      <c r="I26" s="529"/>
      <c r="J26" s="556">
        <f>C_7082_BEXN0</f>
        <v>0</v>
      </c>
      <c r="K26" s="290"/>
    </row>
    <row r="27" spans="1:11" s="171" customFormat="1" ht="19.5">
      <c r="A27" s="323">
        <v>70821</v>
      </c>
      <c r="B27" s="630"/>
      <c r="C27" s="631" t="s">
        <v>260</v>
      </c>
      <c r="D27" s="718">
        <f>C_70821_CARN2</f>
        <v>0</v>
      </c>
      <c r="E27" s="718">
        <f>C_70821_BEXN1</f>
        <v>0</v>
      </c>
      <c r="F27" s="556">
        <f>C_70821_BPPN0-G27</f>
        <v>0</v>
      </c>
      <c r="G27" s="556">
        <f>C_70821_MSNN0</f>
        <v>0</v>
      </c>
      <c r="H27" s="440">
        <f t="shared" si="1"/>
        <v>0</v>
      </c>
      <c r="I27" s="529"/>
      <c r="J27" s="556">
        <f>C_70821_BEXN0</f>
        <v>0</v>
      </c>
      <c r="K27" s="290"/>
    </row>
    <row r="28" spans="1:11" s="171" customFormat="1" ht="37.5">
      <c r="A28" s="323">
        <v>70822</v>
      </c>
      <c r="B28" s="630"/>
      <c r="C28" s="631" t="s">
        <v>261</v>
      </c>
      <c r="D28" s="718">
        <f>C_70822_CARN2</f>
        <v>0</v>
      </c>
      <c r="E28" s="718">
        <f>C_70822_BEXN1</f>
        <v>0</v>
      </c>
      <c r="F28" s="556">
        <f>C_70822_BPPN0-G28</f>
        <v>0</v>
      </c>
      <c r="G28" s="556">
        <f>C_70822_MSNN0</f>
        <v>0</v>
      </c>
      <c r="H28" s="440">
        <f t="shared" si="1"/>
        <v>0</v>
      </c>
      <c r="I28" s="529"/>
      <c r="J28" s="556">
        <f>C_70822_BEXN0</f>
        <v>0</v>
      </c>
      <c r="K28" s="290"/>
    </row>
    <row r="29" spans="1:11" s="171" customFormat="1" ht="37.5">
      <c r="A29" s="323">
        <v>70823</v>
      </c>
      <c r="B29" s="630"/>
      <c r="C29" s="631" t="s">
        <v>262</v>
      </c>
      <c r="D29" s="718">
        <f>C_70823_CARN2</f>
        <v>0</v>
      </c>
      <c r="E29" s="718">
        <f>C_70823_BEXN1</f>
        <v>0</v>
      </c>
      <c r="F29" s="556">
        <f>C_70823_BPPN0-G29</f>
        <v>0</v>
      </c>
      <c r="G29" s="556">
        <f>C_70823_MSNN0</f>
        <v>0</v>
      </c>
      <c r="H29" s="440">
        <f t="shared" si="1"/>
        <v>0</v>
      </c>
      <c r="I29" s="529"/>
      <c r="J29" s="556">
        <f>C_70823_BEXN0</f>
        <v>0</v>
      </c>
      <c r="K29" s="290"/>
    </row>
    <row r="30" spans="1:11" s="171" customFormat="1" ht="19.5">
      <c r="A30" s="323">
        <v>70828</v>
      </c>
      <c r="B30" s="630"/>
      <c r="C30" s="631" t="s">
        <v>263</v>
      </c>
      <c r="D30" s="718">
        <f>C_70828_CARN2</f>
        <v>0</v>
      </c>
      <c r="E30" s="718">
        <f>C_70828_BEXN1</f>
        <v>0</v>
      </c>
      <c r="F30" s="556">
        <f>C_70828_BPPN0-G30</f>
        <v>0</v>
      </c>
      <c r="G30" s="556">
        <f>C_70828_MSNN0</f>
        <v>0</v>
      </c>
      <c r="H30" s="440">
        <f t="shared" si="1"/>
        <v>0</v>
      </c>
      <c r="I30" s="529"/>
      <c r="J30" s="556">
        <f>C_70828_BEXN0</f>
        <v>0</v>
      </c>
      <c r="K30" s="290"/>
    </row>
    <row r="31" spans="1:11" s="172" customFormat="1" ht="16.5" customHeight="1">
      <c r="A31" s="323">
        <v>71</v>
      </c>
      <c r="B31" s="292"/>
      <c r="C31" s="170" t="s">
        <v>160</v>
      </c>
      <c r="D31" s="717">
        <f>C_71_CARN2</f>
        <v>0</v>
      </c>
      <c r="E31" s="717">
        <f>C_71_BEXN1</f>
        <v>0</v>
      </c>
      <c r="F31" s="556">
        <f>C_71_BPPN0-G31</f>
        <v>0</v>
      </c>
      <c r="G31" s="558">
        <f>C_71_MSNN0</f>
        <v>0</v>
      </c>
      <c r="H31" s="497">
        <f aca="true" t="shared" si="2" ref="H31:H44">F31+G31</f>
        <v>0</v>
      </c>
      <c r="I31" s="531"/>
      <c r="J31" s="558">
        <f>C_71_BEXN0</f>
        <v>0</v>
      </c>
      <c r="K31" s="290"/>
    </row>
    <row r="32" spans="1:11" s="172" customFormat="1" ht="16.5" customHeight="1">
      <c r="A32" s="323">
        <v>72</v>
      </c>
      <c r="B32" s="292"/>
      <c r="C32" s="170" t="s">
        <v>161</v>
      </c>
      <c r="D32" s="717">
        <f>C_72_CARN2</f>
        <v>0</v>
      </c>
      <c r="E32" s="717">
        <f>C_72_BEXN1</f>
        <v>0</v>
      </c>
      <c r="F32" s="556">
        <f>C_72_BPPN0-G32</f>
        <v>0</v>
      </c>
      <c r="G32" s="558">
        <f>C_72_MSNN0</f>
        <v>0</v>
      </c>
      <c r="H32" s="497">
        <f t="shared" si="2"/>
        <v>0</v>
      </c>
      <c r="I32" s="531"/>
      <c r="J32" s="558">
        <f>C_72_BEXN0</f>
        <v>0</v>
      </c>
      <c r="K32" s="290"/>
    </row>
    <row r="33" spans="1:11" s="172" customFormat="1" ht="16.5" customHeight="1">
      <c r="A33" s="324">
        <v>74</v>
      </c>
      <c r="B33" s="292"/>
      <c r="C33" s="170" t="s">
        <v>162</v>
      </c>
      <c r="D33" s="717">
        <f>C_74_CARN2</f>
        <v>0</v>
      </c>
      <c r="E33" s="717">
        <f>C_74_BEXN1</f>
        <v>0</v>
      </c>
      <c r="F33" s="556">
        <f>C_74_BPPN0-G33</f>
        <v>0</v>
      </c>
      <c r="G33" s="558">
        <f>C_74_MSNN0</f>
        <v>0</v>
      </c>
      <c r="H33" s="497">
        <f t="shared" si="2"/>
        <v>0</v>
      </c>
      <c r="I33" s="531"/>
      <c r="J33" s="558">
        <f>C_74_BEXN0</f>
        <v>0</v>
      </c>
      <c r="K33" s="290"/>
    </row>
    <row r="34" spans="1:11" s="172" customFormat="1" ht="16.5" customHeight="1">
      <c r="A34" s="323">
        <v>75</v>
      </c>
      <c r="B34" s="292"/>
      <c r="C34" s="170" t="s">
        <v>163</v>
      </c>
      <c r="D34" s="717">
        <f>C_75_CARN2</f>
        <v>0</v>
      </c>
      <c r="E34" s="717">
        <f>C_75_BEXN1</f>
        <v>0</v>
      </c>
      <c r="F34" s="556">
        <f>C_75_BPPN0-G34</f>
        <v>0</v>
      </c>
      <c r="G34" s="558">
        <f>C_75_MSNN0</f>
        <v>0</v>
      </c>
      <c r="H34" s="497">
        <f t="shared" si="2"/>
        <v>0</v>
      </c>
      <c r="I34" s="531"/>
      <c r="J34" s="558">
        <f>C_75_BEXN0</f>
        <v>0</v>
      </c>
      <c r="K34" s="290"/>
    </row>
    <row r="35" spans="1:11" s="172" customFormat="1" ht="16.5" customHeight="1">
      <c r="A35" s="323">
        <v>603</v>
      </c>
      <c r="B35" s="292"/>
      <c r="C35" s="170" t="s">
        <v>164</v>
      </c>
      <c r="D35" s="717">
        <f>C_603P_CARN2</f>
        <v>0</v>
      </c>
      <c r="E35" s="717">
        <f>C_603P_BEXN1</f>
        <v>0</v>
      </c>
      <c r="F35" s="556">
        <f>C_603P_BPPN0-G35</f>
        <v>0</v>
      </c>
      <c r="G35" s="558">
        <f>C_603P_MSNN0</f>
        <v>0</v>
      </c>
      <c r="H35" s="497">
        <f t="shared" si="2"/>
        <v>0</v>
      </c>
      <c r="I35" s="531"/>
      <c r="J35" s="558">
        <f>C_603P_BEXN0</f>
        <v>0</v>
      </c>
      <c r="K35" s="290"/>
    </row>
    <row r="36" spans="1:11" s="172" customFormat="1" ht="16.5" customHeight="1">
      <c r="A36" s="323">
        <v>609</v>
      </c>
      <c r="B36" s="292"/>
      <c r="C36" s="170" t="s">
        <v>165</v>
      </c>
      <c r="D36" s="558">
        <f>C_609_CARN2</f>
        <v>0</v>
      </c>
      <c r="E36" s="717">
        <f>C_609_BEXN1</f>
        <v>0</v>
      </c>
      <c r="F36" s="556">
        <f>C_609_BPPN0-G36</f>
        <v>0</v>
      </c>
      <c r="G36" s="558">
        <f>C_609_MSNN0</f>
        <v>0</v>
      </c>
      <c r="H36" s="497">
        <f t="shared" si="2"/>
        <v>0</v>
      </c>
      <c r="I36" s="531"/>
      <c r="J36" s="558">
        <f>C_609_BEXN0</f>
        <v>0</v>
      </c>
      <c r="K36" s="290"/>
    </row>
    <row r="37" spans="1:11" s="172" customFormat="1" ht="16.5" customHeight="1">
      <c r="A37" s="323">
        <v>619</v>
      </c>
      <c r="B37" s="292"/>
      <c r="C37" s="170" t="s">
        <v>166</v>
      </c>
      <c r="D37" s="558">
        <f>C_619_CARN2</f>
        <v>0</v>
      </c>
      <c r="E37" s="558">
        <f>C_619_BEXN1</f>
        <v>0</v>
      </c>
      <c r="F37" s="556">
        <f>C_619_BPPN0-G37</f>
        <v>0</v>
      </c>
      <c r="G37" s="558">
        <f>C_619_MSNN0</f>
        <v>0</v>
      </c>
      <c r="H37" s="497">
        <f t="shared" si="2"/>
        <v>0</v>
      </c>
      <c r="I37" s="531"/>
      <c r="J37" s="558">
        <f>C_619_BEXN0</f>
        <v>0</v>
      </c>
      <c r="K37" s="290"/>
    </row>
    <row r="38" spans="1:11" s="172" customFormat="1" ht="16.5" customHeight="1">
      <c r="A38" s="323">
        <v>629</v>
      </c>
      <c r="B38" s="292"/>
      <c r="C38" s="170" t="s">
        <v>167</v>
      </c>
      <c r="D38" s="558">
        <f>C_629_CARN2</f>
        <v>0</v>
      </c>
      <c r="E38" s="558">
        <f>C_629_BEXN1</f>
        <v>0</v>
      </c>
      <c r="F38" s="556">
        <f>C_629_BPPN0-G38</f>
        <v>0</v>
      </c>
      <c r="G38" s="558">
        <f>C_629_MSNN0</f>
        <v>0</v>
      </c>
      <c r="H38" s="497">
        <f t="shared" si="2"/>
        <v>0</v>
      </c>
      <c r="I38" s="531"/>
      <c r="J38" s="558">
        <f>C_629_BEXN0</f>
        <v>0</v>
      </c>
      <c r="K38" s="290"/>
    </row>
    <row r="39" spans="1:11" s="172" customFormat="1" ht="16.5" customHeight="1">
      <c r="A39" s="323">
        <v>6419</v>
      </c>
      <c r="B39" s="292"/>
      <c r="C39" s="170" t="s">
        <v>168</v>
      </c>
      <c r="D39" s="558">
        <f>C_6419_CARN2</f>
        <v>0</v>
      </c>
      <c r="E39" s="558">
        <f>C_6419_BEXN1</f>
        <v>0</v>
      </c>
      <c r="F39" s="556">
        <f>C_6419_BPPN0-G39</f>
        <v>0</v>
      </c>
      <c r="G39" s="558">
        <f>C_6419_MSNN0</f>
        <v>0</v>
      </c>
      <c r="H39" s="497">
        <f t="shared" si="2"/>
        <v>0</v>
      </c>
      <c r="I39" s="531"/>
      <c r="J39" s="558">
        <f>C_6419_BEXN0</f>
        <v>0</v>
      </c>
      <c r="K39" s="290"/>
    </row>
    <row r="40" spans="1:11" s="172" customFormat="1" ht="16.5" customHeight="1">
      <c r="A40" s="323">
        <v>6429</v>
      </c>
      <c r="B40" s="292"/>
      <c r="C40" s="170" t="s">
        <v>169</v>
      </c>
      <c r="D40" s="558">
        <f>C_6429_CARN2</f>
        <v>0</v>
      </c>
      <c r="E40" s="558">
        <f>C_6429_BEXN1</f>
        <v>0</v>
      </c>
      <c r="F40" s="556">
        <f>C_6429_BPPN0-G40</f>
        <v>0</v>
      </c>
      <c r="G40" s="558">
        <f>C_6429_MSNN0</f>
        <v>0</v>
      </c>
      <c r="H40" s="497">
        <f t="shared" si="2"/>
        <v>0</v>
      </c>
      <c r="I40" s="531"/>
      <c r="J40" s="558">
        <f>C_6429_BEXN0</f>
        <v>0</v>
      </c>
      <c r="K40" s="290"/>
    </row>
    <row r="41" spans="1:11" s="172" customFormat="1" ht="16.5" customHeight="1">
      <c r="A41" s="323">
        <v>6439</v>
      </c>
      <c r="B41" s="292"/>
      <c r="C41" s="170" t="s">
        <v>257</v>
      </c>
      <c r="D41" s="558">
        <f>C_6439_CARN2</f>
        <v>0</v>
      </c>
      <c r="E41" s="558">
        <f>C_6439_BEXN1</f>
        <v>0</v>
      </c>
      <c r="F41" s="556">
        <f>C_6439_BPPN0-G41</f>
        <v>0</v>
      </c>
      <c r="G41" s="558">
        <f>C_6439_MSNN0</f>
        <v>0</v>
      </c>
      <c r="H41" s="497">
        <f t="shared" si="2"/>
        <v>0</v>
      </c>
      <c r="I41" s="531"/>
      <c r="J41" s="558">
        <f>C_6439_BEXN0</f>
        <v>0</v>
      </c>
      <c r="K41" s="290"/>
    </row>
    <row r="42" spans="1:11" s="172" customFormat="1" ht="16.5" customHeight="1">
      <c r="A42" s="323" t="s">
        <v>258</v>
      </c>
      <c r="B42" s="292"/>
      <c r="C42" s="631" t="s">
        <v>259</v>
      </c>
      <c r="D42" s="558">
        <f>C_6459_69_79_CARN2</f>
        <v>0</v>
      </c>
      <c r="E42" s="558">
        <f>C_6459_69_79_BEXN1</f>
        <v>0</v>
      </c>
      <c r="F42" s="556">
        <f>C_6459_69_79_BPPN0-G42</f>
        <v>0</v>
      </c>
      <c r="G42" s="558">
        <f>C_6459_69_79_MSNN0</f>
        <v>0</v>
      </c>
      <c r="H42" s="497">
        <f t="shared" si="2"/>
        <v>0</v>
      </c>
      <c r="I42" s="531"/>
      <c r="J42" s="558">
        <f>C_6459_69_79_BEXN0</f>
        <v>0</v>
      </c>
      <c r="K42" s="290"/>
    </row>
    <row r="43" spans="1:11" s="172" customFormat="1" ht="16.5" customHeight="1">
      <c r="A43" s="323">
        <v>6489</v>
      </c>
      <c r="B43" s="292"/>
      <c r="C43" s="170" t="s">
        <v>170</v>
      </c>
      <c r="D43" s="558">
        <f>C_6489_CARN2</f>
        <v>0</v>
      </c>
      <c r="E43" s="558">
        <f>C_6489_BEXN1</f>
        <v>0</v>
      </c>
      <c r="F43" s="556">
        <f>C_6489_BPPN0-G43</f>
        <v>0</v>
      </c>
      <c r="G43" s="558">
        <f>C_6489_MSNN0</f>
        <v>0</v>
      </c>
      <c r="H43" s="497">
        <f t="shared" si="2"/>
        <v>0</v>
      </c>
      <c r="I43" s="531"/>
      <c r="J43" s="558">
        <f>C_6489_BEXN0</f>
        <v>0</v>
      </c>
      <c r="K43" s="290"/>
    </row>
    <row r="44" spans="1:11" s="172" customFormat="1" ht="16.5" customHeight="1">
      <c r="A44" s="323">
        <v>6611</v>
      </c>
      <c r="B44" s="292"/>
      <c r="C44" s="170" t="s">
        <v>171</v>
      </c>
      <c r="D44" s="558">
        <f>C_6611_CARN2</f>
        <v>0</v>
      </c>
      <c r="E44" s="558">
        <f>C_6611_BEXN1</f>
        <v>0</v>
      </c>
      <c r="F44" s="556">
        <f>C_6611_BPPN0-G44</f>
        <v>0</v>
      </c>
      <c r="G44" s="558">
        <f>C_6611_MSNN0</f>
        <v>0</v>
      </c>
      <c r="H44" s="497">
        <f t="shared" si="2"/>
        <v>0</v>
      </c>
      <c r="I44" s="532"/>
      <c r="J44" s="558">
        <f>C_6611_BEXN0</f>
        <v>0</v>
      </c>
      <c r="K44" s="290"/>
    </row>
    <row r="45" spans="1:11" s="174" customFormat="1" ht="6" customHeight="1" thickBot="1">
      <c r="A45" s="173" t="s">
        <v>88</v>
      </c>
      <c r="B45" s="293"/>
      <c r="C45" s="294" t="s">
        <v>88</v>
      </c>
      <c r="D45" s="498"/>
      <c r="E45" s="499"/>
      <c r="F45" s="499"/>
      <c r="G45" s="499"/>
      <c r="H45" s="500"/>
      <c r="I45" s="501"/>
      <c r="J45" s="499"/>
      <c r="K45" s="291"/>
    </row>
    <row r="46" spans="1:11" s="167" customFormat="1" ht="24" customHeight="1" thickBot="1" thickTop="1">
      <c r="A46" s="166"/>
      <c r="B46" s="811"/>
      <c r="C46" s="812" t="s">
        <v>121</v>
      </c>
      <c r="D46" s="431">
        <f>SUM(D25:D26,D31:D44)</f>
        <v>0</v>
      </c>
      <c r="E46" s="431">
        <f>SUM(E25:E26,E31:E44)</f>
        <v>0</v>
      </c>
      <c r="F46" s="431">
        <f>SUM(F25:F26,F31:F44)</f>
        <v>0</v>
      </c>
      <c r="G46" s="431">
        <f>SUM(G25:G26,G31:G44)</f>
        <v>0</v>
      </c>
      <c r="H46" s="431">
        <f>F46+G46</f>
        <v>0</v>
      </c>
      <c r="I46" s="557">
        <f>FGROUPE2PRO_Budgetret</f>
        <v>0</v>
      </c>
      <c r="J46" s="431">
        <f>SUM(J25:J26,J31:J44)</f>
        <v>0</v>
      </c>
      <c r="K46" s="291"/>
    </row>
    <row r="47" spans="1:11" s="167" customFormat="1" ht="24" customHeight="1" thickTop="1">
      <c r="A47" s="166"/>
      <c r="B47" s="175"/>
      <c r="C47" s="176"/>
      <c r="D47" s="502"/>
      <c r="E47" s="502"/>
      <c r="F47" s="502"/>
      <c r="G47" s="502"/>
      <c r="H47" s="442"/>
      <c r="I47" s="502"/>
      <c r="J47" s="502"/>
      <c r="K47" s="291"/>
    </row>
    <row r="48" spans="1:11" s="167" customFormat="1" ht="24" customHeight="1">
      <c r="A48" s="166"/>
      <c r="B48" s="175"/>
      <c r="C48" s="176"/>
      <c r="D48" s="502"/>
      <c r="E48" s="502"/>
      <c r="F48" s="502"/>
      <c r="G48" s="502"/>
      <c r="H48" s="442"/>
      <c r="I48" s="502"/>
      <c r="J48" s="502"/>
      <c r="K48" s="291"/>
    </row>
    <row r="49" spans="1:11" s="167" customFormat="1" ht="24" customHeight="1">
      <c r="A49" s="166"/>
      <c r="B49" s="175"/>
      <c r="C49" s="176"/>
      <c r="D49" s="502"/>
      <c r="E49" s="502"/>
      <c r="F49" s="502"/>
      <c r="G49" s="502"/>
      <c r="H49" s="442"/>
      <c r="I49" s="502"/>
      <c r="J49" s="502"/>
      <c r="K49" s="291"/>
    </row>
    <row r="50" spans="1:11" s="167" customFormat="1" ht="24" customHeight="1">
      <c r="A50" s="166"/>
      <c r="B50" s="175"/>
      <c r="C50" s="176"/>
      <c r="D50" s="502"/>
      <c r="E50" s="502"/>
      <c r="F50" s="502"/>
      <c r="G50" s="502"/>
      <c r="H50" s="442"/>
      <c r="I50" s="502"/>
      <c r="J50" s="502"/>
      <c r="K50" s="291"/>
    </row>
    <row r="51" spans="1:11" ht="26.25">
      <c r="A51" s="353"/>
      <c r="B51" s="353"/>
      <c r="C51" s="354"/>
      <c r="D51" s="493"/>
      <c r="E51" s="493"/>
      <c r="F51" s="493"/>
      <c r="G51" s="493"/>
      <c r="H51" s="503"/>
      <c r="I51" s="493"/>
      <c r="J51" s="493"/>
      <c r="K51" s="291"/>
    </row>
    <row r="52" spans="1:11" ht="20.25">
      <c r="A52" s="353"/>
      <c r="B52" s="813"/>
      <c r="C52" s="815"/>
      <c r="D52" s="445"/>
      <c r="E52" s="445"/>
      <c r="F52" s="445"/>
      <c r="G52" s="445"/>
      <c r="H52" s="463"/>
      <c r="I52" s="446"/>
      <c r="J52" s="446"/>
      <c r="K52" s="291"/>
    </row>
    <row r="53" spans="1:11" ht="20.25">
      <c r="A53" s="353"/>
      <c r="B53" s="813"/>
      <c r="C53" s="816" t="s">
        <v>385</v>
      </c>
      <c r="D53" s="445"/>
      <c r="E53" s="445"/>
      <c r="F53" s="445"/>
      <c r="G53" s="445"/>
      <c r="H53" s="463"/>
      <c r="I53" s="447"/>
      <c r="J53" s="447"/>
      <c r="K53" s="291"/>
    </row>
    <row r="54" spans="1:11" ht="19.5">
      <c r="A54" s="353"/>
      <c r="B54" s="813"/>
      <c r="C54" s="817" t="s">
        <v>172</v>
      </c>
      <c r="D54" s="448"/>
      <c r="E54" s="448"/>
      <c r="F54" s="448"/>
      <c r="G54" s="448"/>
      <c r="H54" s="496"/>
      <c r="I54" s="448"/>
      <c r="J54" s="492"/>
      <c r="K54" s="291"/>
    </row>
    <row r="55" spans="1:11" ht="26.25">
      <c r="A55" s="353"/>
      <c r="B55" s="813"/>
      <c r="C55" s="818"/>
      <c r="D55" s="448"/>
      <c r="E55" s="448"/>
      <c r="F55" s="448"/>
      <c r="G55" s="448"/>
      <c r="H55" s="496"/>
      <c r="I55" s="448"/>
      <c r="J55" s="492"/>
      <c r="K55" s="291"/>
    </row>
    <row r="56" spans="1:11" ht="19.5">
      <c r="A56" s="353"/>
      <c r="B56" s="353"/>
      <c r="C56" s="9"/>
      <c r="D56" s="448" t="s">
        <v>52</v>
      </c>
      <c r="E56" s="448" t="s">
        <v>53</v>
      </c>
      <c r="F56" s="448" t="s">
        <v>54</v>
      </c>
      <c r="G56" s="448" t="s">
        <v>81</v>
      </c>
      <c r="H56" s="496" t="s">
        <v>82</v>
      </c>
      <c r="I56" s="448" t="s">
        <v>57</v>
      </c>
      <c r="J56" s="492" t="s">
        <v>58</v>
      </c>
      <c r="K56" s="291"/>
    </row>
    <row r="57" spans="1:11" s="174" customFormat="1" ht="18.75">
      <c r="A57" s="324">
        <v>76</v>
      </c>
      <c r="B57" s="292"/>
      <c r="C57" s="170" t="s">
        <v>173</v>
      </c>
      <c r="D57" s="558">
        <f>C_76_CARN2</f>
        <v>0</v>
      </c>
      <c r="E57" s="558">
        <f>C_76_BEXN1</f>
        <v>0</v>
      </c>
      <c r="F57" s="558">
        <f>C_76_BPPN0-G57</f>
        <v>0</v>
      </c>
      <c r="G57" s="558">
        <f>C_76_MSNN0</f>
        <v>0</v>
      </c>
      <c r="H57" s="497">
        <f>F57+G57</f>
        <v>0</v>
      </c>
      <c r="I57" s="533"/>
      <c r="J57" s="558">
        <f>C_76_BEXN0</f>
        <v>0</v>
      </c>
      <c r="K57" s="290"/>
    </row>
    <row r="58" spans="1:11" s="180" customFormat="1" ht="25.5" customHeight="1">
      <c r="A58" s="177" t="s">
        <v>174</v>
      </c>
      <c r="B58" s="178"/>
      <c r="C58" s="179"/>
      <c r="D58" s="504"/>
      <c r="E58" s="505"/>
      <c r="F58" s="505"/>
      <c r="G58" s="505"/>
      <c r="H58" s="506"/>
      <c r="I58" s="506"/>
      <c r="J58" s="505"/>
      <c r="K58" s="290"/>
    </row>
    <row r="59" spans="1:11" s="183" customFormat="1" ht="16.5" customHeight="1">
      <c r="A59" s="325">
        <v>771</v>
      </c>
      <c r="B59" s="295"/>
      <c r="C59" s="182" t="s">
        <v>175</v>
      </c>
      <c r="D59" s="559">
        <f>C_771_CARN2</f>
        <v>0</v>
      </c>
      <c r="E59" s="560">
        <f>C_771_BEXN1</f>
        <v>0</v>
      </c>
      <c r="F59" s="558">
        <f>C_771_BPPN0-G59</f>
        <v>0</v>
      </c>
      <c r="G59" s="559">
        <f>C_771_MSNN0</f>
        <v>0</v>
      </c>
      <c r="H59" s="507">
        <f>F59+G59</f>
        <v>0</v>
      </c>
      <c r="I59" s="534"/>
      <c r="J59" s="560">
        <f>C_771_BEXN0</f>
        <v>0</v>
      </c>
      <c r="K59" s="290"/>
    </row>
    <row r="60" spans="1:11" s="183" customFormat="1" ht="16.5" customHeight="1">
      <c r="A60" s="325">
        <v>773</v>
      </c>
      <c r="B60" s="296"/>
      <c r="C60" s="182" t="s">
        <v>176</v>
      </c>
      <c r="D60" s="559">
        <f>C_773_CARN2</f>
        <v>0</v>
      </c>
      <c r="E60" s="560">
        <f>C_773_BEXN1</f>
        <v>0</v>
      </c>
      <c r="F60" s="558">
        <f>C_773_BPPN0-G60</f>
        <v>0</v>
      </c>
      <c r="G60" s="559">
        <f>C_773_MSNN0</f>
        <v>0</v>
      </c>
      <c r="H60" s="507">
        <f>F60+G60</f>
        <v>0</v>
      </c>
      <c r="I60" s="535"/>
      <c r="J60" s="560">
        <f>C_773_BEXN0</f>
        <v>0</v>
      </c>
      <c r="K60" s="290"/>
    </row>
    <row r="61" spans="1:11" s="185" customFormat="1" ht="16.5" customHeight="1">
      <c r="A61" s="325">
        <v>775</v>
      </c>
      <c r="B61" s="296"/>
      <c r="C61" s="182" t="s">
        <v>177</v>
      </c>
      <c r="D61" s="559">
        <f>C_775_CARN2</f>
        <v>0</v>
      </c>
      <c r="E61" s="560">
        <f>C_775_BEXN1</f>
        <v>0</v>
      </c>
      <c r="F61" s="558">
        <f>C_775_BPPN0-G61</f>
        <v>0</v>
      </c>
      <c r="G61" s="559">
        <f>C_775_MSNN0</f>
        <v>0</v>
      </c>
      <c r="H61" s="507">
        <f>F61+G61</f>
        <v>0</v>
      </c>
      <c r="I61" s="535"/>
      <c r="J61" s="560">
        <f>C_775_BEXN0</f>
        <v>0</v>
      </c>
      <c r="K61" s="290"/>
    </row>
    <row r="62" spans="1:11" s="185" customFormat="1" ht="16.5" customHeight="1">
      <c r="A62" s="325">
        <v>777</v>
      </c>
      <c r="B62" s="296"/>
      <c r="C62" s="186" t="s">
        <v>178</v>
      </c>
      <c r="D62" s="559">
        <f>C_777_CARN2</f>
        <v>0</v>
      </c>
      <c r="E62" s="560">
        <f>C_777_BEXN1</f>
        <v>0</v>
      </c>
      <c r="F62" s="558">
        <f>C_777_BPPN0-G62</f>
        <v>0</v>
      </c>
      <c r="G62" s="559">
        <f>C_777_MSNN0</f>
        <v>0</v>
      </c>
      <c r="H62" s="507">
        <f>F62+G62</f>
        <v>0</v>
      </c>
      <c r="I62" s="535"/>
      <c r="J62" s="560">
        <f>C_777_BEXN0</f>
        <v>0</v>
      </c>
      <c r="K62" s="290"/>
    </row>
    <row r="63" spans="1:11" s="183" customFormat="1" ht="16.5" customHeight="1">
      <c r="A63" s="325">
        <v>778</v>
      </c>
      <c r="B63" s="296"/>
      <c r="C63" s="182" t="s">
        <v>179</v>
      </c>
      <c r="D63" s="559">
        <f>C_778_CARN2</f>
        <v>0</v>
      </c>
      <c r="E63" s="560">
        <f>C_778_BEXN1</f>
        <v>0</v>
      </c>
      <c r="F63" s="558">
        <f>C_778_BPPN0-G63</f>
        <v>0</v>
      </c>
      <c r="G63" s="559">
        <f>C_778_MSNN0</f>
        <v>0</v>
      </c>
      <c r="H63" s="507">
        <f>F63+G63</f>
        <v>0</v>
      </c>
      <c r="I63" s="536"/>
      <c r="J63" s="560">
        <f>C_778_BEXN0</f>
        <v>0</v>
      </c>
      <c r="K63" s="290"/>
    </row>
    <row r="64" spans="1:11" s="183" customFormat="1" ht="6" customHeight="1">
      <c r="A64" s="187"/>
      <c r="B64" s="188"/>
      <c r="C64" s="189"/>
      <c r="D64" s="508"/>
      <c r="E64" s="509"/>
      <c r="F64" s="509"/>
      <c r="G64" s="509"/>
      <c r="H64" s="510"/>
      <c r="I64" s="537"/>
      <c r="J64" s="509"/>
      <c r="K64" s="291"/>
    </row>
    <row r="65" spans="1:11" s="180" customFormat="1" ht="25.5" customHeight="1">
      <c r="A65" s="177" t="s">
        <v>180</v>
      </c>
      <c r="B65" s="190"/>
      <c r="C65" s="191"/>
      <c r="D65" s="504"/>
      <c r="E65" s="505"/>
      <c r="F65" s="505"/>
      <c r="G65" s="505"/>
      <c r="H65" s="506"/>
      <c r="I65" s="537"/>
      <c r="J65" s="505"/>
      <c r="K65" s="291"/>
    </row>
    <row r="66" spans="1:11" s="183" customFormat="1" ht="21" customHeight="1">
      <c r="A66" s="325">
        <v>781</v>
      </c>
      <c r="B66" s="297"/>
      <c r="C66" s="673" t="s">
        <v>264</v>
      </c>
      <c r="D66" s="556">
        <f>C_781_CARN2</f>
        <v>0</v>
      </c>
      <c r="E66" s="556">
        <f>C_781_BEXN1</f>
        <v>0</v>
      </c>
      <c r="F66" s="558">
        <f>C_781_BPPN0-G66</f>
        <v>0</v>
      </c>
      <c r="G66" s="556">
        <f>C_781_MSNN0</f>
        <v>0</v>
      </c>
      <c r="H66" s="440">
        <f>F66+G66</f>
        <v>0</v>
      </c>
      <c r="I66" s="528"/>
      <c r="J66" s="556">
        <f>C_781_BEXN0</f>
        <v>0</v>
      </c>
      <c r="K66" s="290"/>
    </row>
    <row r="67" spans="1:11" s="183" customFormat="1" ht="21" customHeight="1">
      <c r="A67" s="325">
        <v>786</v>
      </c>
      <c r="B67" s="297"/>
      <c r="C67" s="673" t="s">
        <v>265</v>
      </c>
      <c r="D67" s="671">
        <f>C_786_CARN2</f>
        <v>0</v>
      </c>
      <c r="E67" s="671">
        <f>C_786_BEXN1</f>
        <v>0</v>
      </c>
      <c r="F67" s="672">
        <f>C_786_BPPN0-G67</f>
        <v>0</v>
      </c>
      <c r="G67" s="671">
        <f>C_786_MSNN0</f>
        <v>0</v>
      </c>
      <c r="H67" s="440">
        <f aca="true" t="shared" si="3" ref="H67:H79">F67+G67</f>
        <v>0</v>
      </c>
      <c r="I67" s="528"/>
      <c r="J67" s="671">
        <f>C_786_BEXN0</f>
        <v>0</v>
      </c>
      <c r="K67" s="290"/>
    </row>
    <row r="68" spans="1:11" s="183" customFormat="1" ht="21" customHeight="1">
      <c r="A68" s="325">
        <v>787</v>
      </c>
      <c r="B68" s="297"/>
      <c r="C68" s="673" t="s">
        <v>266</v>
      </c>
      <c r="D68" s="671">
        <f>C_787_CARN2</f>
        <v>0</v>
      </c>
      <c r="E68" s="671">
        <f>C_787_BEXN1</f>
        <v>0</v>
      </c>
      <c r="F68" s="672">
        <f>C_787_BPPN0-G68</f>
        <v>0</v>
      </c>
      <c r="G68" s="671">
        <f>C_787_MSNN0</f>
        <v>0</v>
      </c>
      <c r="H68" s="440">
        <f t="shared" si="3"/>
        <v>0</v>
      </c>
      <c r="I68" s="528"/>
      <c r="J68" s="671">
        <f>C_787_BEXN0</f>
        <v>0</v>
      </c>
      <c r="K68" s="290"/>
    </row>
    <row r="69" spans="1:11" s="183" customFormat="1" ht="21" customHeight="1">
      <c r="A69" s="325">
        <v>78725</v>
      </c>
      <c r="B69" s="297"/>
      <c r="C69" s="673" t="s">
        <v>267</v>
      </c>
      <c r="D69" s="671">
        <f>C_78725_CARN2</f>
        <v>0</v>
      </c>
      <c r="E69" s="671">
        <f>C_78725_BEXN1</f>
        <v>0</v>
      </c>
      <c r="F69" s="672">
        <f>C_78725_BPPN0-G69</f>
        <v>0</v>
      </c>
      <c r="G69" s="671">
        <f>C_78725_MSNN0</f>
        <v>0</v>
      </c>
      <c r="H69" s="440">
        <f t="shared" si="3"/>
        <v>0</v>
      </c>
      <c r="I69" s="528"/>
      <c r="J69" s="671">
        <f>C_78725_BEXN0</f>
        <v>0</v>
      </c>
      <c r="K69" s="290"/>
    </row>
    <row r="70" spans="1:11" s="183" customFormat="1" ht="21" customHeight="1">
      <c r="A70" s="325">
        <v>78741</v>
      </c>
      <c r="B70" s="297"/>
      <c r="C70" s="673" t="s">
        <v>268</v>
      </c>
      <c r="D70" s="671">
        <f>C_78741_CARN2</f>
        <v>0</v>
      </c>
      <c r="E70" s="671">
        <f>C_78741_BEXN1</f>
        <v>0</v>
      </c>
      <c r="F70" s="672">
        <f>C_78741_BPPN0-G70</f>
        <v>0</v>
      </c>
      <c r="G70" s="671">
        <f>C_78741_MSNN0</f>
        <v>0</v>
      </c>
      <c r="H70" s="440">
        <f t="shared" si="3"/>
        <v>0</v>
      </c>
      <c r="I70" s="528"/>
      <c r="J70" s="671">
        <f>C_78741_BEXN0</f>
        <v>0</v>
      </c>
      <c r="K70" s="290"/>
    </row>
    <row r="71" spans="1:11" s="183" customFormat="1" ht="21" customHeight="1">
      <c r="A71" s="325">
        <v>78742</v>
      </c>
      <c r="B71" s="297"/>
      <c r="C71" s="673" t="s">
        <v>269</v>
      </c>
      <c r="D71" s="671">
        <f>C_78742_CARN2</f>
        <v>0</v>
      </c>
      <c r="E71" s="671">
        <f>C_78742_BEXN1</f>
        <v>0</v>
      </c>
      <c r="F71" s="672">
        <f>C_78742_BPPN0-G71</f>
        <v>0</v>
      </c>
      <c r="G71" s="671">
        <f>C_78742_MSNN0</f>
        <v>0</v>
      </c>
      <c r="H71" s="440">
        <f t="shared" si="3"/>
        <v>0</v>
      </c>
      <c r="I71" s="528"/>
      <c r="J71" s="671">
        <f>C_78742_BEXN0</f>
        <v>0</v>
      </c>
      <c r="K71" s="290"/>
    </row>
    <row r="72" spans="1:11" s="183" customFormat="1" ht="21" customHeight="1">
      <c r="A72" s="325">
        <v>787461</v>
      </c>
      <c r="B72" s="297"/>
      <c r="C72" s="673" t="s">
        <v>270</v>
      </c>
      <c r="D72" s="671">
        <f>C_787461_CARN2</f>
        <v>0</v>
      </c>
      <c r="E72" s="671">
        <f>C_787461_BEXN1</f>
        <v>0</v>
      </c>
      <c r="F72" s="672">
        <f>C_787461_BPPN0-G72</f>
        <v>0</v>
      </c>
      <c r="G72" s="671">
        <f>C_787461_MSNN0</f>
        <v>0</v>
      </c>
      <c r="H72" s="440">
        <f t="shared" si="3"/>
        <v>0</v>
      </c>
      <c r="I72" s="528"/>
      <c r="J72" s="671">
        <f>C_787461_BEXN0</f>
        <v>0</v>
      </c>
      <c r="K72" s="290"/>
    </row>
    <row r="73" spans="1:11" s="183" customFormat="1" ht="21" customHeight="1">
      <c r="A73" s="325">
        <v>787462</v>
      </c>
      <c r="B73" s="297"/>
      <c r="C73" s="673" t="s">
        <v>271</v>
      </c>
      <c r="D73" s="671">
        <f>C_787462_CARN2</f>
        <v>0</v>
      </c>
      <c r="E73" s="671">
        <f>C_787462_BEXN1</f>
        <v>0</v>
      </c>
      <c r="F73" s="672">
        <f>C_787462_BPPN0-G73</f>
        <v>0</v>
      </c>
      <c r="G73" s="671">
        <f>C_787462_MSNN0</f>
        <v>0</v>
      </c>
      <c r="H73" s="440">
        <f t="shared" si="3"/>
        <v>0</v>
      </c>
      <c r="I73" s="528"/>
      <c r="J73" s="671">
        <f>C_787462_BEXN0</f>
        <v>0</v>
      </c>
      <c r="K73" s="290"/>
    </row>
    <row r="74" spans="1:11" s="183" customFormat="1" ht="21" customHeight="1">
      <c r="A74" s="325">
        <v>78748</v>
      </c>
      <c r="B74" s="297"/>
      <c r="C74" s="673" t="s">
        <v>272</v>
      </c>
      <c r="D74" s="671">
        <f>C_78748_CARN2</f>
        <v>0</v>
      </c>
      <c r="E74" s="671">
        <f>C_78748_BEXN1</f>
        <v>0</v>
      </c>
      <c r="F74" s="672">
        <f>C_78748_BPPN0-G74</f>
        <v>0</v>
      </c>
      <c r="G74" s="671">
        <f>C_78748_MSNN0</f>
        <v>0</v>
      </c>
      <c r="H74" s="440">
        <f t="shared" si="3"/>
        <v>0</v>
      </c>
      <c r="I74" s="528"/>
      <c r="J74" s="671">
        <f>C_78748_BEXN0</f>
        <v>0</v>
      </c>
      <c r="K74" s="290"/>
    </row>
    <row r="75" spans="1:11" s="183" customFormat="1" ht="21" customHeight="1">
      <c r="A75" s="325">
        <v>7876</v>
      </c>
      <c r="B75" s="297"/>
      <c r="C75" s="673" t="s">
        <v>273</v>
      </c>
      <c r="D75" s="671">
        <f>C_7876_CARN2</f>
        <v>0</v>
      </c>
      <c r="E75" s="671">
        <f>C_7876_BEXN1</f>
        <v>0</v>
      </c>
      <c r="F75" s="672">
        <f>C_7876_BPPN0-G75</f>
        <v>0</v>
      </c>
      <c r="G75" s="671">
        <f>C_7876_MSNN0</f>
        <v>0</v>
      </c>
      <c r="H75" s="440">
        <f t="shared" si="3"/>
        <v>0</v>
      </c>
      <c r="I75" s="528"/>
      <c r="J75" s="671">
        <f>C_7876_BEXN0</f>
        <v>0</v>
      </c>
      <c r="K75" s="290"/>
    </row>
    <row r="76" spans="1:11" s="183" customFormat="1" ht="21" customHeight="1">
      <c r="A76" s="325">
        <v>789</v>
      </c>
      <c r="B76" s="297"/>
      <c r="C76" s="673" t="s">
        <v>274</v>
      </c>
      <c r="D76" s="671">
        <f>C_789_CARN2</f>
        <v>0</v>
      </c>
      <c r="E76" s="671">
        <f>C_789_BEXN1</f>
        <v>0</v>
      </c>
      <c r="F76" s="672">
        <f>C_789_BPPN0-G76</f>
        <v>0</v>
      </c>
      <c r="G76" s="671">
        <f>C_789_MSNN0</f>
        <v>0</v>
      </c>
      <c r="H76" s="440">
        <f t="shared" si="3"/>
        <v>0</v>
      </c>
      <c r="I76" s="528"/>
      <c r="J76" s="671">
        <f>C_789_BEXN0</f>
        <v>0</v>
      </c>
      <c r="K76" s="290"/>
    </row>
    <row r="77" spans="1:11" s="183" customFormat="1" ht="21" customHeight="1">
      <c r="A77" s="325">
        <v>79</v>
      </c>
      <c r="B77" s="654"/>
      <c r="C77" s="186" t="s">
        <v>27</v>
      </c>
      <c r="D77" s="671">
        <f>C_79_CARN2</f>
        <v>0</v>
      </c>
      <c r="E77" s="671">
        <f>C_79_BEXN1</f>
        <v>0</v>
      </c>
      <c r="F77" s="672">
        <f>C_79_BPPN0-G77</f>
        <v>0</v>
      </c>
      <c r="G77" s="671">
        <f>C_79_MSNN0</f>
        <v>0</v>
      </c>
      <c r="H77" s="440">
        <f t="shared" si="3"/>
        <v>0</v>
      </c>
      <c r="I77" s="528"/>
      <c r="J77" s="671">
        <f>C_79_BEXN0</f>
        <v>0</v>
      </c>
      <c r="K77" s="290"/>
    </row>
    <row r="78" spans="1:11" s="183" customFormat="1" ht="21" customHeight="1">
      <c r="A78" s="325">
        <v>791</v>
      </c>
      <c r="B78" s="297"/>
      <c r="C78" s="673" t="s">
        <v>275</v>
      </c>
      <c r="D78" s="671">
        <f>C_791_CARN2</f>
        <v>0</v>
      </c>
      <c r="E78" s="671">
        <f>C_791_BEXN1</f>
        <v>0</v>
      </c>
      <c r="F78" s="672">
        <f>C_791_BPPN0-G78</f>
        <v>0</v>
      </c>
      <c r="G78" s="671">
        <f>C_791_MSNN0</f>
        <v>0</v>
      </c>
      <c r="H78" s="440">
        <f t="shared" si="3"/>
        <v>0</v>
      </c>
      <c r="I78" s="528"/>
      <c r="J78" s="671">
        <f>C_791_BEXN0</f>
        <v>0</v>
      </c>
      <c r="K78" s="290"/>
    </row>
    <row r="79" spans="1:11" s="183" customFormat="1" ht="20.25">
      <c r="A79" s="325">
        <v>796</v>
      </c>
      <c r="B79" s="297"/>
      <c r="C79" s="673" t="s">
        <v>276</v>
      </c>
      <c r="D79" s="556">
        <f>C_796_CARN2</f>
        <v>0</v>
      </c>
      <c r="E79" s="556">
        <f>C_796_BEXN1</f>
        <v>0</v>
      </c>
      <c r="F79" s="685">
        <f>C_796_BPPN0-G79</f>
        <v>0</v>
      </c>
      <c r="G79" s="556">
        <f>C_796_MSNN0</f>
        <v>0</v>
      </c>
      <c r="H79" s="440">
        <f t="shared" si="3"/>
        <v>0</v>
      </c>
      <c r="I79" s="528"/>
      <c r="J79" s="556">
        <f>C_796_BEXN0</f>
        <v>0</v>
      </c>
      <c r="K79" s="290"/>
    </row>
    <row r="80" spans="1:11" s="183" customFormat="1" ht="20.25">
      <c r="A80" s="325">
        <v>797</v>
      </c>
      <c r="B80" s="654"/>
      <c r="C80" s="186" t="s">
        <v>277</v>
      </c>
      <c r="D80" s="556">
        <f>C_797_CARN2</f>
        <v>0</v>
      </c>
      <c r="E80" s="556">
        <f>C_797_BEXN1</f>
        <v>0</v>
      </c>
      <c r="F80" s="558">
        <f>C_797_BPPN0-G80</f>
        <v>0</v>
      </c>
      <c r="G80" s="556">
        <f>C_797_MSNN0</f>
        <v>0</v>
      </c>
      <c r="H80" s="440">
        <f>F80+G80</f>
        <v>0</v>
      </c>
      <c r="I80" s="655"/>
      <c r="J80" s="556">
        <f>C_797_BEXN0</f>
        <v>0</v>
      </c>
      <c r="K80" s="290"/>
    </row>
    <row r="81" spans="1:11" s="194" customFormat="1" ht="9" customHeight="1" thickBot="1">
      <c r="A81" s="326"/>
      <c r="B81" s="192"/>
      <c r="C81" s="193"/>
      <c r="D81" s="509"/>
      <c r="E81" s="509"/>
      <c r="F81" s="509"/>
      <c r="G81" s="509"/>
      <c r="H81" s="510"/>
      <c r="I81" s="511"/>
      <c r="J81" s="509"/>
      <c r="K81" s="291"/>
    </row>
    <row r="82" spans="1:11" s="196" customFormat="1" ht="24" customHeight="1" thickBot="1" thickTop="1">
      <c r="A82" s="195"/>
      <c r="B82" s="819"/>
      <c r="C82" s="820" t="s">
        <v>152</v>
      </c>
      <c r="D82" s="512">
        <f>SUM(D57,D59:D63,D66:D68,D75:D77)</f>
        <v>0</v>
      </c>
      <c r="E82" s="512">
        <f>SUM(E57,E59:E63,E66:E68,E75:E77)</f>
        <v>0</v>
      </c>
      <c r="F82" s="512">
        <f>SUM(F57,F59:F63,F66:F68,F75:F77)</f>
        <v>0</v>
      </c>
      <c r="G82" s="512">
        <f>SUM(G57,G59:G63,G66:G68,G75:G77)</f>
        <v>0</v>
      </c>
      <c r="H82" s="512">
        <f>F82+G82</f>
        <v>0</v>
      </c>
      <c r="I82" s="561">
        <f>FGROUPE3PRO_Budgetret</f>
        <v>0</v>
      </c>
      <c r="J82" s="512">
        <f>SUM(J57,J59:J63,J66:J68,J75:J77)</f>
        <v>0</v>
      </c>
      <c r="K82" s="291"/>
    </row>
    <row r="83" spans="1:11" s="199" customFormat="1" ht="9" customHeight="1" thickBot="1" thickTop="1">
      <c r="A83" s="187"/>
      <c r="B83" s="197"/>
      <c r="C83" s="198"/>
      <c r="D83" s="509"/>
      <c r="E83" s="509"/>
      <c r="F83" s="509"/>
      <c r="G83" s="509"/>
      <c r="H83" s="510"/>
      <c r="I83" s="509"/>
      <c r="J83" s="509"/>
      <c r="K83" s="291"/>
    </row>
    <row r="84" spans="1:11" s="200" customFormat="1" ht="49.5" customHeight="1" thickBot="1" thickTop="1">
      <c r="A84" s="195"/>
      <c r="B84" s="819"/>
      <c r="C84" s="821" t="s">
        <v>153</v>
      </c>
      <c r="D84" s="597">
        <f aca="true" t="shared" si="4" ref="D84:J84">D82+D46+D17</f>
        <v>0</v>
      </c>
      <c r="E84" s="597">
        <f t="shared" si="4"/>
        <v>0</v>
      </c>
      <c r="F84" s="597">
        <f t="shared" si="4"/>
        <v>0</v>
      </c>
      <c r="G84" s="512">
        <f t="shared" si="4"/>
        <v>0</v>
      </c>
      <c r="H84" s="512">
        <f>F84+G84</f>
        <v>0</v>
      </c>
      <c r="I84" s="512">
        <f t="shared" si="4"/>
        <v>0</v>
      </c>
      <c r="J84" s="513">
        <f t="shared" si="4"/>
        <v>0</v>
      </c>
      <c r="K84" s="408"/>
    </row>
    <row r="85" spans="1:11" s="199" customFormat="1" ht="19.5" thickTop="1">
      <c r="A85" s="184"/>
      <c r="B85" s="184"/>
      <c r="C85" s="201"/>
      <c r="D85" s="514"/>
      <c r="E85" s="514"/>
      <c r="F85" s="514"/>
      <c r="G85" s="514"/>
      <c r="H85" s="514"/>
      <c r="I85" s="515"/>
      <c r="J85" s="514"/>
      <c r="K85" s="291"/>
    </row>
    <row r="86" spans="1:10" s="200" customFormat="1" ht="30.75" customHeight="1">
      <c r="A86" s="184"/>
      <c r="B86" s="181"/>
      <c r="C86" s="202"/>
      <c r="D86" s="516" t="s">
        <v>154</v>
      </c>
      <c r="E86" s="516" t="s">
        <v>155</v>
      </c>
      <c r="F86" s="679"/>
      <c r="G86" s="679"/>
      <c r="H86" s="862" t="s">
        <v>247</v>
      </c>
      <c r="I86" s="862"/>
      <c r="J86" s="862"/>
    </row>
    <row r="87" spans="1:11" ht="18.75">
      <c r="A87" s="327" t="s">
        <v>156</v>
      </c>
      <c r="B87" s="355"/>
      <c r="C87" s="203" t="s">
        <v>181</v>
      </c>
      <c r="D87" s="562">
        <f>ExedCARN2+IF(RESREPRISCARN2&gt;0,RESREPRISCARN2,0)</f>
        <v>0</v>
      </c>
      <c r="E87" s="562">
        <f>ExedBEXN1+IF(RESREPRISBEXN1&gt;0,RESREPRISBEXN1,0)</f>
        <v>0</v>
      </c>
      <c r="F87" s="680"/>
      <c r="G87" s="680"/>
      <c r="H87" s="562">
        <f>F87+G87</f>
        <v>0</v>
      </c>
      <c r="I87" s="681">
        <f>ExedBRN0+IF(RESREPRISBRN0&gt;0,RESREPRISBRN0,0)</f>
        <v>0</v>
      </c>
      <c r="J87" s="681">
        <f>ExedBEXN0+IF(RESREPRISBEXN0&gt;0,RESREPRISBEXN0,0)</f>
        <v>0</v>
      </c>
      <c r="K87" s="291"/>
    </row>
    <row r="88" spans="1:11" ht="18.75">
      <c r="A88" s="327" t="s">
        <v>245</v>
      </c>
      <c r="B88" s="355"/>
      <c r="C88" s="203" t="s">
        <v>246</v>
      </c>
      <c r="D88" s="562">
        <f>IF(RTDOT1161CARN2&gt;0,RTDOT1161CARN2,0)</f>
        <v>0</v>
      </c>
      <c r="E88" s="562">
        <f>IF(RTDOT1161BEXN1&gt;0,RTDOT1161BEXN1,0)</f>
        <v>0</v>
      </c>
      <c r="F88" s="676"/>
      <c r="G88" s="676"/>
      <c r="H88" s="562">
        <f>F88+G88</f>
        <v>0</v>
      </c>
      <c r="I88" s="681">
        <f>IF(RTDOT1161BRN0&gt;0,RTDOT1161BRN0,0)</f>
        <v>0</v>
      </c>
      <c r="J88" s="681">
        <f>IF(RTDOT1161BEXN0&gt;0,RTDOT1161BEXN0,0)</f>
        <v>0</v>
      </c>
      <c r="K88" s="291"/>
    </row>
    <row r="89" spans="1:11" ht="19.5" thickBot="1">
      <c r="A89" s="674"/>
      <c r="B89" s="674"/>
      <c r="C89" s="675"/>
      <c r="D89" s="677"/>
      <c r="E89" s="677"/>
      <c r="F89" s="677"/>
      <c r="G89" s="677"/>
      <c r="H89" s="678"/>
      <c r="I89" s="677"/>
      <c r="J89" s="677"/>
      <c r="K89" s="291"/>
    </row>
    <row r="90" spans="1:11" s="200" customFormat="1" ht="35.25" customHeight="1" thickBot="1" thickTop="1">
      <c r="A90" s="195"/>
      <c r="B90" s="819"/>
      <c r="C90" s="821" t="s">
        <v>182</v>
      </c>
      <c r="D90" s="512">
        <f aca="true" t="shared" si="5" ref="D90:J90">D84+D87+D88</f>
        <v>0</v>
      </c>
      <c r="E90" s="512">
        <f t="shared" si="5"/>
        <v>0</v>
      </c>
      <c r="F90" s="512">
        <f t="shared" si="5"/>
        <v>0</v>
      </c>
      <c r="G90" s="512">
        <f t="shared" si="5"/>
        <v>0</v>
      </c>
      <c r="H90" s="512">
        <f t="shared" si="5"/>
        <v>0</v>
      </c>
      <c r="I90" s="512">
        <f t="shared" si="5"/>
        <v>0</v>
      </c>
      <c r="J90" s="513">
        <f t="shared" si="5"/>
        <v>0</v>
      </c>
      <c r="K90" s="291"/>
    </row>
    <row r="91" ht="26.25" thickTop="1">
      <c r="K91" s="298"/>
    </row>
    <row r="92" ht="25.5">
      <c r="K92" s="298"/>
    </row>
    <row r="93" ht="25.5">
      <c r="K93" s="298"/>
    </row>
    <row r="94" ht="25.5">
      <c r="K94" s="298"/>
    </row>
    <row r="95" ht="25.5">
      <c r="K95" s="298"/>
    </row>
    <row r="96" ht="25.5">
      <c r="K96" s="298"/>
    </row>
    <row r="97" ht="25.5">
      <c r="K97" s="298"/>
    </row>
    <row r="98" ht="25.5">
      <c r="K98" s="298"/>
    </row>
    <row r="99" ht="25.5">
      <c r="K99" s="298"/>
    </row>
    <row r="100" ht="25.5">
      <c r="K100" s="298"/>
    </row>
    <row r="101" ht="25.5">
      <c r="K101" s="298"/>
    </row>
    <row r="102" ht="25.5">
      <c r="K102" s="298"/>
    </row>
    <row r="103" ht="25.5">
      <c r="K103" s="298"/>
    </row>
    <row r="104" ht="25.5">
      <c r="K104" s="298"/>
    </row>
    <row r="105" ht="25.5">
      <c r="K105" s="298"/>
    </row>
    <row r="106" ht="25.5">
      <c r="K106" s="298"/>
    </row>
    <row r="107" ht="25.5">
      <c r="K107" s="298"/>
    </row>
    <row r="108" ht="25.5">
      <c r="K108" s="298"/>
    </row>
    <row r="109" ht="25.5">
      <c r="K109" s="298"/>
    </row>
    <row r="110" ht="25.5">
      <c r="K110" s="298"/>
    </row>
    <row r="111" ht="25.5">
      <c r="K111" s="298"/>
    </row>
    <row r="112" ht="25.5">
      <c r="K112" s="298"/>
    </row>
    <row r="113" ht="25.5">
      <c r="K113" s="298"/>
    </row>
    <row r="114" ht="25.5">
      <c r="K114" s="298"/>
    </row>
    <row r="115" ht="25.5">
      <c r="K115" s="298"/>
    </row>
    <row r="116" ht="25.5">
      <c r="K116" s="298"/>
    </row>
    <row r="117" ht="25.5">
      <c r="K117" s="298"/>
    </row>
    <row r="118" ht="25.5">
      <c r="K118" s="298"/>
    </row>
    <row r="119" ht="25.5">
      <c r="K119" s="298"/>
    </row>
    <row r="120" ht="25.5">
      <c r="K120" s="298"/>
    </row>
    <row r="121" ht="25.5">
      <c r="K121" s="298"/>
    </row>
    <row r="122" ht="25.5">
      <c r="K122" s="298"/>
    </row>
    <row r="123" ht="25.5">
      <c r="K123" s="298"/>
    </row>
  </sheetData>
  <sheetProtection password="B34F" sheet="1" formatCells="0" formatColumns="0" formatRows="0"/>
  <mergeCells count="3">
    <mergeCell ref="H86:J86"/>
    <mergeCell ref="A1:J1"/>
    <mergeCell ref="A2:J2"/>
  </mergeCells>
  <printOptions horizontalCentered="1"/>
  <pageMargins left="0.3937007874015748" right="0.3937007874015748" top="0.984251968503937" bottom="0" header="0.1968503937007874" footer="0.1968503937007874"/>
  <pageSetup firstPageNumber="7" useFirstPageNumber="1" fitToHeight="2" orientation="landscape" paperSize="9" scale="49" r:id="rId2"/>
  <headerFooter alignWithMargins="0">
    <oddHeader>&amp;L&amp;"Arial,Gras"&amp;14ANNEXE 1-2 . 5 :  Produits de la section d'exploitation</oddHeader>
  </headerFooter>
  <rowBreaks count="1" manualBreakCount="1">
    <brk id="50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2:M47"/>
  <sheetViews>
    <sheetView showZeros="0" zoomScale="70" zoomScaleNormal="70" zoomScalePageLayoutView="0" workbookViewId="0" topLeftCell="A1">
      <selection activeCell="D4" sqref="D4"/>
    </sheetView>
  </sheetViews>
  <sheetFormatPr defaultColWidth="11.421875" defaultRowHeight="12.75"/>
  <cols>
    <col min="1" max="1" width="7.7109375" style="206" customWidth="1"/>
    <col min="2" max="2" width="1.1484375" style="207" customWidth="1"/>
    <col min="3" max="3" width="87.7109375" style="208" customWidth="1"/>
    <col min="4" max="6" width="24.7109375" style="209" customWidth="1"/>
    <col min="7" max="7" width="1.28515625" style="209" customWidth="1"/>
    <col min="8" max="16384" width="11.421875" style="209" customWidth="1"/>
  </cols>
  <sheetData>
    <row r="1" ht="50.25" customHeight="1"/>
    <row r="2" spans="1:13" s="215" customFormat="1" ht="27.75" customHeight="1" thickBot="1">
      <c r="A2" s="210" t="s">
        <v>183</v>
      </c>
      <c r="B2" s="211"/>
      <c r="C2" s="212"/>
      <c r="D2" s="213"/>
      <c r="E2" s="213"/>
      <c r="F2" s="213"/>
      <c r="G2" s="214"/>
      <c r="H2" s="214"/>
      <c r="I2" s="214"/>
      <c r="J2" s="214"/>
      <c r="K2" s="214"/>
      <c r="L2" s="214"/>
      <c r="M2" s="214"/>
    </row>
    <row r="3" spans="1:13" s="220" customFormat="1" ht="16.5" customHeight="1">
      <c r="A3" s="216">
        <v>10</v>
      </c>
      <c r="B3" s="217"/>
      <c r="C3" s="218" t="s">
        <v>184</v>
      </c>
      <c r="D3" s="563">
        <f>CE10000_CA2</f>
        <v>0</v>
      </c>
      <c r="E3" s="563">
        <f>CE10000_BE1</f>
        <v>0</v>
      </c>
      <c r="F3" s="564">
        <f>CE10000_BP0</f>
        <v>0</v>
      </c>
      <c r="G3" s="219"/>
      <c r="H3" s="219"/>
      <c r="I3" s="219"/>
      <c r="J3" s="219"/>
      <c r="K3" s="219"/>
      <c r="L3" s="219"/>
      <c r="M3" s="219"/>
    </row>
    <row r="4" spans="1:13" s="220" customFormat="1" ht="16.5" customHeight="1" thickBot="1">
      <c r="A4" s="216">
        <v>1161</v>
      </c>
      <c r="B4" s="217"/>
      <c r="C4" s="231" t="s">
        <v>246</v>
      </c>
      <c r="D4" s="565">
        <f>CE11610_CA2</f>
        <v>0</v>
      </c>
      <c r="E4" s="565">
        <f>CE11610_BE1</f>
        <v>0</v>
      </c>
      <c r="F4" s="566">
        <f>CE11610_BP0</f>
        <v>0</v>
      </c>
      <c r="G4" s="219"/>
      <c r="H4" s="219"/>
      <c r="I4" s="219"/>
      <c r="J4" s="219"/>
      <c r="K4" s="219"/>
      <c r="L4" s="219"/>
      <c r="M4" s="219"/>
    </row>
    <row r="5" spans="1:13" s="220" customFormat="1" ht="16.5" customHeight="1" thickBot="1">
      <c r="A5" s="216">
        <v>13</v>
      </c>
      <c r="B5" s="217"/>
      <c r="C5" s="221" t="s">
        <v>278</v>
      </c>
      <c r="D5" s="565">
        <f>CE13000_CA2</f>
        <v>0</v>
      </c>
      <c r="E5" s="565">
        <f>CE13000_BE1</f>
        <v>0</v>
      </c>
      <c r="F5" s="566">
        <f>CE13000_BP0</f>
        <v>0</v>
      </c>
      <c r="G5" s="219"/>
      <c r="H5" s="219"/>
      <c r="I5" s="219"/>
      <c r="J5" s="219"/>
      <c r="K5" s="219"/>
      <c r="L5" s="219"/>
      <c r="M5" s="219"/>
    </row>
    <row r="6" spans="1:13" s="220" customFormat="1" ht="3.75" customHeight="1">
      <c r="A6" s="216"/>
      <c r="B6" s="217"/>
      <c r="C6" s="222"/>
      <c r="D6" s="409"/>
      <c r="E6" s="409"/>
      <c r="F6" s="409"/>
      <c r="G6" s="219"/>
      <c r="H6" s="219"/>
      <c r="I6" s="219"/>
      <c r="J6" s="219"/>
      <c r="K6" s="219"/>
      <c r="L6" s="219"/>
      <c r="M6" s="219"/>
    </row>
    <row r="7" spans="1:13" s="224" customFormat="1" ht="20.25" customHeight="1" thickBot="1">
      <c r="A7" s="210" t="s">
        <v>185</v>
      </c>
      <c r="B7" s="217"/>
      <c r="C7" s="212"/>
      <c r="D7" s="410"/>
      <c r="E7" s="410"/>
      <c r="F7" s="410"/>
      <c r="G7" s="223"/>
      <c r="H7" s="223"/>
      <c r="I7" s="223"/>
      <c r="J7" s="223"/>
      <c r="K7" s="223"/>
      <c r="L7" s="223"/>
      <c r="M7" s="223"/>
    </row>
    <row r="8" spans="1:13" s="220" customFormat="1" ht="16.5" customHeight="1">
      <c r="A8" s="216">
        <v>14</v>
      </c>
      <c r="B8" s="217"/>
      <c r="C8" s="218" t="s">
        <v>186</v>
      </c>
      <c r="D8" s="563">
        <f>CE14000_CA2</f>
        <v>0</v>
      </c>
      <c r="E8" s="563">
        <f>CE14000_BE1</f>
        <v>0</v>
      </c>
      <c r="F8" s="564">
        <f>CE14000_BP0</f>
        <v>0</v>
      </c>
      <c r="G8" s="219"/>
      <c r="H8" s="219"/>
      <c r="I8" s="219"/>
      <c r="J8" s="219"/>
      <c r="K8" s="219"/>
      <c r="L8" s="219"/>
      <c r="M8" s="219"/>
    </row>
    <row r="9" spans="1:13" s="220" customFormat="1" ht="16.5" customHeight="1" thickBot="1">
      <c r="A9" s="216">
        <v>15</v>
      </c>
      <c r="B9" s="217"/>
      <c r="C9" s="225" t="s">
        <v>187</v>
      </c>
      <c r="D9" s="565">
        <f>CE15000_CA2</f>
        <v>0</v>
      </c>
      <c r="E9" s="565">
        <f>CE15000_BE1</f>
        <v>0</v>
      </c>
      <c r="F9" s="566">
        <f>CE15000_BP0</f>
        <v>0</v>
      </c>
      <c r="G9" s="219"/>
      <c r="H9" s="219"/>
      <c r="I9" s="219"/>
      <c r="J9" s="219"/>
      <c r="K9" s="219"/>
      <c r="L9" s="219"/>
      <c r="M9" s="219"/>
    </row>
    <row r="10" spans="1:13" s="220" customFormat="1" ht="3.75" customHeight="1">
      <c r="A10" s="216"/>
      <c r="B10" s="217"/>
      <c r="C10" s="222"/>
      <c r="D10" s="409"/>
      <c r="E10" s="409"/>
      <c r="F10" s="409"/>
      <c r="G10" s="219"/>
      <c r="H10" s="219"/>
      <c r="I10" s="219"/>
      <c r="J10" s="219"/>
      <c r="K10" s="219"/>
      <c r="L10" s="219"/>
      <c r="M10" s="219"/>
    </row>
    <row r="11" spans="1:13" s="227" customFormat="1" ht="20.25" customHeight="1" thickBot="1">
      <c r="A11" s="210" t="s">
        <v>188</v>
      </c>
      <c r="B11" s="211"/>
      <c r="C11" s="212"/>
      <c r="D11" s="410"/>
      <c r="E11" s="410"/>
      <c r="F11" s="410"/>
      <c r="G11" s="226"/>
      <c r="H11" s="226"/>
      <c r="I11" s="226"/>
      <c r="J11" s="226"/>
      <c r="K11" s="226"/>
      <c r="L11" s="226"/>
      <c r="M11" s="226"/>
    </row>
    <row r="12" spans="1:13" s="220" customFormat="1" ht="16.5" customHeight="1">
      <c r="A12" s="216">
        <v>16</v>
      </c>
      <c r="B12" s="217"/>
      <c r="C12" s="218" t="s">
        <v>189</v>
      </c>
      <c r="D12" s="563">
        <f>CE16000_CA2</f>
        <v>0</v>
      </c>
      <c r="E12" s="563">
        <f>CE16000_BE1</f>
        <v>0</v>
      </c>
      <c r="F12" s="564">
        <f>CE16000_BP0</f>
        <v>0</v>
      </c>
      <c r="G12" s="219"/>
      <c r="H12" s="219"/>
      <c r="I12" s="219"/>
      <c r="J12" s="219"/>
      <c r="K12" s="219"/>
      <c r="L12" s="219"/>
      <c r="M12" s="219"/>
    </row>
    <row r="13" spans="1:13" s="220" customFormat="1" ht="16.5" customHeight="1" thickBot="1">
      <c r="A13" s="216">
        <v>17</v>
      </c>
      <c r="B13" s="217"/>
      <c r="C13" s="225" t="s">
        <v>5</v>
      </c>
      <c r="D13" s="565">
        <f>CE17000_CA2</f>
        <v>0</v>
      </c>
      <c r="E13" s="565">
        <f>CE17000_BE1</f>
        <v>0</v>
      </c>
      <c r="F13" s="566">
        <f>CE17000_BP0</f>
        <v>0</v>
      </c>
      <c r="G13" s="219"/>
      <c r="H13" s="219"/>
      <c r="I13" s="219"/>
      <c r="J13" s="219"/>
      <c r="K13" s="219"/>
      <c r="L13" s="219"/>
      <c r="M13" s="219"/>
    </row>
    <row r="14" spans="1:13" s="220" customFormat="1" ht="5.25" customHeight="1">
      <c r="A14" s="216"/>
      <c r="B14" s="217"/>
      <c r="C14" s="229"/>
      <c r="D14" s="409"/>
      <c r="E14" s="409"/>
      <c r="F14" s="409"/>
      <c r="G14" s="219"/>
      <c r="H14" s="219"/>
      <c r="I14" s="219"/>
      <c r="J14" s="219"/>
      <c r="K14" s="219"/>
      <c r="L14" s="219"/>
      <c r="M14" s="219"/>
    </row>
    <row r="15" spans="1:13" s="220" customFormat="1" ht="20.25" customHeight="1" thickBot="1">
      <c r="A15" s="210" t="s">
        <v>190</v>
      </c>
      <c r="B15" s="217"/>
      <c r="C15" s="229"/>
      <c r="D15" s="409"/>
      <c r="E15" s="409"/>
      <c r="F15" s="409"/>
      <c r="G15" s="219"/>
      <c r="H15" s="219"/>
      <c r="I15" s="219"/>
      <c r="J15" s="219"/>
      <c r="K15" s="219"/>
      <c r="L15" s="219"/>
      <c r="M15" s="219"/>
    </row>
    <row r="16" spans="1:13" s="220" customFormat="1" ht="16.5" customHeight="1" thickBot="1">
      <c r="A16" s="216">
        <v>18</v>
      </c>
      <c r="B16" s="217"/>
      <c r="C16" s="228" t="s">
        <v>190</v>
      </c>
      <c r="D16" s="567">
        <f>CE18000_CA2</f>
        <v>0</v>
      </c>
      <c r="E16" s="567">
        <f>CE18000_BE1</f>
        <v>0</v>
      </c>
      <c r="F16" s="568">
        <f>CE18000_BP0</f>
        <v>0</v>
      </c>
      <c r="G16" s="219"/>
      <c r="H16" s="219"/>
      <c r="I16" s="219"/>
      <c r="J16" s="219"/>
      <c r="K16" s="219"/>
      <c r="L16" s="219"/>
      <c r="M16" s="219"/>
    </row>
    <row r="17" spans="1:13" s="220" customFormat="1" ht="3.75" customHeight="1">
      <c r="A17" s="216"/>
      <c r="B17" s="217"/>
      <c r="C17" s="222"/>
      <c r="D17" s="409"/>
      <c r="E17" s="409"/>
      <c r="F17" s="409"/>
      <c r="G17" s="219"/>
      <c r="H17" s="219"/>
      <c r="I17" s="219"/>
      <c r="J17" s="219"/>
      <c r="K17" s="219"/>
      <c r="L17" s="219"/>
      <c r="M17" s="219"/>
    </row>
    <row r="18" spans="1:13" s="227" customFormat="1" ht="20.25" customHeight="1" thickBot="1">
      <c r="A18" s="210" t="s">
        <v>191</v>
      </c>
      <c r="B18" s="211"/>
      <c r="C18" s="212"/>
      <c r="D18" s="410"/>
      <c r="E18" s="410"/>
      <c r="F18" s="410"/>
      <c r="G18" s="226"/>
      <c r="H18" s="226"/>
      <c r="I18" s="226"/>
      <c r="J18" s="226"/>
      <c r="K18" s="226"/>
      <c r="L18" s="226"/>
      <c r="M18" s="226"/>
    </row>
    <row r="19" spans="1:13" s="220" customFormat="1" ht="16.5" customHeight="1">
      <c r="A19" s="216">
        <v>20</v>
      </c>
      <c r="B19" s="217"/>
      <c r="C19" s="230" t="s">
        <v>192</v>
      </c>
      <c r="D19" s="569">
        <f>CE20000_CA2</f>
        <v>0</v>
      </c>
      <c r="E19" s="569">
        <f>CE20000_BE1</f>
        <v>0</v>
      </c>
      <c r="F19" s="570">
        <f>CE20000_BP0</f>
        <v>0</v>
      </c>
      <c r="G19" s="219"/>
      <c r="H19" s="219"/>
      <c r="I19" s="219"/>
      <c r="J19" s="219"/>
      <c r="K19" s="219"/>
      <c r="L19" s="219"/>
      <c r="M19" s="219"/>
    </row>
    <row r="20" spans="1:13" s="220" customFormat="1" ht="16.5" customHeight="1">
      <c r="A20" s="216">
        <v>21</v>
      </c>
      <c r="B20" s="217"/>
      <c r="C20" s="231" t="s">
        <v>193</v>
      </c>
      <c r="D20" s="571">
        <f>CE21000_CA2</f>
        <v>0</v>
      </c>
      <c r="E20" s="571">
        <f>CE21000_BE1</f>
        <v>0</v>
      </c>
      <c r="F20" s="572">
        <f>CE21000_BP0</f>
        <v>0</v>
      </c>
      <c r="G20" s="219"/>
      <c r="H20" s="219"/>
      <c r="I20" s="219"/>
      <c r="J20" s="219"/>
      <c r="K20" s="219"/>
      <c r="L20" s="219"/>
      <c r="M20" s="219"/>
    </row>
    <row r="21" spans="1:13" s="220" customFormat="1" ht="16.5" customHeight="1">
      <c r="A21" s="216">
        <v>22</v>
      </c>
      <c r="B21" s="217"/>
      <c r="C21" s="231" t="s">
        <v>194</v>
      </c>
      <c r="D21" s="571">
        <f>CE22000_CA2</f>
        <v>0</v>
      </c>
      <c r="E21" s="571">
        <f>CE22000_BE1</f>
        <v>0</v>
      </c>
      <c r="F21" s="572">
        <f>CE22000_BP0</f>
        <v>0</v>
      </c>
      <c r="G21" s="219"/>
      <c r="H21" s="219"/>
      <c r="I21" s="219"/>
      <c r="J21" s="219"/>
      <c r="K21" s="219"/>
      <c r="L21" s="219"/>
      <c r="M21" s="219"/>
    </row>
    <row r="22" spans="1:13" s="220" customFormat="1" ht="16.5" customHeight="1">
      <c r="A22" s="216">
        <v>23</v>
      </c>
      <c r="B22" s="217"/>
      <c r="C22" s="231" t="s">
        <v>195</v>
      </c>
      <c r="D22" s="571">
        <f>CE23000_CA2</f>
        <v>0</v>
      </c>
      <c r="E22" s="571">
        <f>CE23000_BE1</f>
        <v>0</v>
      </c>
      <c r="F22" s="572">
        <f>CE23000_BP0</f>
        <v>0</v>
      </c>
      <c r="G22" s="219"/>
      <c r="H22" s="219"/>
      <c r="I22" s="219"/>
      <c r="J22" s="219"/>
      <c r="K22" s="219"/>
      <c r="L22" s="219"/>
      <c r="M22" s="219"/>
    </row>
    <row r="23" spans="1:13" s="220" customFormat="1" ht="16.5" customHeight="1">
      <c r="A23" s="216">
        <v>24</v>
      </c>
      <c r="B23" s="217"/>
      <c r="C23" s="231" t="s">
        <v>18</v>
      </c>
      <c r="D23" s="571">
        <f>CE24000_CA2</f>
        <v>0</v>
      </c>
      <c r="E23" s="571">
        <f>CE24000_BE1</f>
        <v>0</v>
      </c>
      <c r="F23" s="572">
        <f>CE24000_BP0</f>
        <v>0</v>
      </c>
      <c r="G23" s="219"/>
      <c r="H23" s="219"/>
      <c r="I23" s="219"/>
      <c r="J23" s="219"/>
      <c r="K23" s="219"/>
      <c r="L23" s="219"/>
      <c r="M23" s="219"/>
    </row>
    <row r="24" spans="1:13" s="220" customFormat="1" ht="16.5" customHeight="1">
      <c r="A24" s="216">
        <v>26</v>
      </c>
      <c r="B24" s="217"/>
      <c r="C24" s="231" t="s">
        <v>196</v>
      </c>
      <c r="D24" s="571">
        <f>CE26000_CA2</f>
        <v>0</v>
      </c>
      <c r="E24" s="571">
        <f>CE26000_BE1</f>
        <v>0</v>
      </c>
      <c r="F24" s="572">
        <f>CE26000_BP0</f>
        <v>0</v>
      </c>
      <c r="G24" s="223"/>
      <c r="H24" s="223"/>
      <c r="I24" s="219"/>
      <c r="J24" s="219"/>
      <c r="K24" s="219"/>
      <c r="L24" s="219"/>
      <c r="M24" s="219"/>
    </row>
    <row r="25" spans="1:13" s="220" customFormat="1" ht="16.5" customHeight="1" thickBot="1">
      <c r="A25" s="216">
        <v>27</v>
      </c>
      <c r="B25" s="217"/>
      <c r="C25" s="225" t="s">
        <v>197</v>
      </c>
      <c r="D25" s="565">
        <f>CE27000_CA2</f>
        <v>0</v>
      </c>
      <c r="E25" s="565">
        <f>CE27000_BE1</f>
        <v>0</v>
      </c>
      <c r="F25" s="566">
        <f>CE27000_BP0</f>
        <v>0</v>
      </c>
      <c r="G25" s="219"/>
      <c r="H25" s="219"/>
      <c r="I25" s="219"/>
      <c r="J25" s="219"/>
      <c r="K25" s="219"/>
      <c r="L25" s="219"/>
      <c r="M25" s="219"/>
    </row>
    <row r="26" spans="1:13" s="220" customFormat="1" ht="3.75" customHeight="1">
      <c r="A26" s="216"/>
      <c r="B26" s="217"/>
      <c r="C26" s="222"/>
      <c r="D26" s="409"/>
      <c r="E26" s="409"/>
      <c r="F26" s="409"/>
      <c r="G26" s="219"/>
      <c r="H26" s="219"/>
      <c r="I26" s="219"/>
      <c r="J26" s="219"/>
      <c r="K26" s="219"/>
      <c r="L26" s="219"/>
      <c r="M26" s="219"/>
    </row>
    <row r="27" spans="1:13" s="227" customFormat="1" ht="20.25" customHeight="1" thickBot="1">
      <c r="A27" s="210" t="s">
        <v>78</v>
      </c>
      <c r="B27" s="211"/>
      <c r="C27" s="212"/>
      <c r="D27" s="410"/>
      <c r="E27" s="410"/>
      <c r="F27" s="410"/>
      <c r="G27" s="226"/>
      <c r="H27" s="226"/>
      <c r="I27" s="226"/>
      <c r="J27" s="226"/>
      <c r="K27" s="226"/>
      <c r="L27" s="226"/>
      <c r="M27" s="226"/>
    </row>
    <row r="28" spans="1:13" s="220" customFormat="1" ht="16.5" customHeight="1" thickBot="1">
      <c r="A28" s="216">
        <v>28</v>
      </c>
      <c r="B28" s="217"/>
      <c r="C28" s="228" t="s">
        <v>198</v>
      </c>
      <c r="D28" s="567">
        <f>CE28000_CA2</f>
        <v>0</v>
      </c>
      <c r="E28" s="567">
        <f>CE28000_BE1</f>
        <v>0</v>
      </c>
      <c r="F28" s="568">
        <f>CE28000_BP0</f>
        <v>0</v>
      </c>
      <c r="G28" s="219"/>
      <c r="H28" s="219"/>
      <c r="I28" s="219"/>
      <c r="J28" s="219"/>
      <c r="K28" s="219"/>
      <c r="L28" s="219"/>
      <c r="M28" s="219"/>
    </row>
    <row r="29" spans="1:13" s="220" customFormat="1" ht="6" customHeight="1" thickBot="1">
      <c r="A29" s="216"/>
      <c r="B29" s="217"/>
      <c r="C29" s="229"/>
      <c r="D29" s="411"/>
      <c r="E29" s="411"/>
      <c r="F29" s="411"/>
      <c r="G29" s="219"/>
      <c r="H29" s="219"/>
      <c r="I29" s="219"/>
      <c r="J29" s="219"/>
      <c r="K29" s="219"/>
      <c r="L29" s="219"/>
      <c r="M29" s="219"/>
    </row>
    <row r="30" spans="1:13" s="220" customFormat="1" ht="16.5" customHeight="1" thickBot="1">
      <c r="A30" s="216">
        <v>29</v>
      </c>
      <c r="B30" s="217"/>
      <c r="C30" s="228" t="s">
        <v>199</v>
      </c>
      <c r="D30" s="567">
        <f>CE29000_CA2</f>
        <v>0</v>
      </c>
      <c r="E30" s="567">
        <f>CE29000_BE1</f>
        <v>0</v>
      </c>
      <c r="F30" s="568">
        <f>CE29000_BP0</f>
        <v>0</v>
      </c>
      <c r="G30" s="219"/>
      <c r="H30" s="219"/>
      <c r="I30" s="219"/>
      <c r="J30" s="219"/>
      <c r="K30" s="219"/>
      <c r="L30" s="219"/>
      <c r="M30" s="219"/>
    </row>
    <row r="31" spans="1:13" s="220" customFormat="1" ht="6" customHeight="1" thickBot="1">
      <c r="A31" s="216"/>
      <c r="B31" s="217"/>
      <c r="C31" s="229"/>
      <c r="D31" s="409"/>
      <c r="E31" s="409"/>
      <c r="F31" s="409"/>
      <c r="G31" s="219"/>
      <c r="H31" s="219"/>
      <c r="I31" s="219"/>
      <c r="J31" s="219"/>
      <c r="K31" s="219"/>
      <c r="L31" s="219"/>
      <c r="M31" s="219"/>
    </row>
    <row r="32" spans="1:13" s="220" customFormat="1" ht="16.5" customHeight="1" thickBot="1">
      <c r="A32" s="216">
        <v>39</v>
      </c>
      <c r="B32" s="217"/>
      <c r="C32" s="228" t="s">
        <v>200</v>
      </c>
      <c r="D32" s="567">
        <f>CE39000_CA2</f>
        <v>0</v>
      </c>
      <c r="E32" s="567">
        <f>CE39000_BE1</f>
        <v>0</v>
      </c>
      <c r="F32" s="568">
        <f>CE39000_BP0</f>
        <v>0</v>
      </c>
      <c r="G32" s="219"/>
      <c r="H32" s="219"/>
      <c r="I32" s="219"/>
      <c r="J32" s="219"/>
      <c r="K32" s="219"/>
      <c r="L32" s="219"/>
      <c r="M32" s="219"/>
    </row>
    <row r="33" spans="1:13" s="220" customFormat="1" ht="6" customHeight="1" thickBot="1">
      <c r="A33" s="232"/>
      <c r="B33" s="233"/>
      <c r="C33" s="234"/>
      <c r="D33" s="412"/>
      <c r="E33" s="412"/>
      <c r="F33" s="412"/>
      <c r="G33" s="223"/>
      <c r="H33" s="223"/>
      <c r="I33" s="223"/>
      <c r="J33" s="219"/>
      <c r="K33" s="219"/>
      <c r="L33" s="219"/>
      <c r="M33" s="219"/>
    </row>
    <row r="34" spans="1:13" s="220" customFormat="1" ht="16.5" customHeight="1" thickBot="1">
      <c r="A34" s="216">
        <v>481</v>
      </c>
      <c r="B34" s="217"/>
      <c r="C34" s="228" t="s">
        <v>201</v>
      </c>
      <c r="D34" s="567">
        <f>CE48100_CA2</f>
        <v>0</v>
      </c>
      <c r="E34" s="567">
        <f>CE48100_BE1</f>
        <v>0</v>
      </c>
      <c r="F34" s="568">
        <f>CE48100_BP0</f>
        <v>0</v>
      </c>
      <c r="G34" s="219"/>
      <c r="H34" s="219"/>
      <c r="I34" s="219"/>
      <c r="J34" s="219"/>
      <c r="K34" s="219"/>
      <c r="L34" s="219"/>
      <c r="M34" s="219"/>
    </row>
    <row r="35" spans="1:13" s="220" customFormat="1" ht="6" customHeight="1" thickBot="1">
      <c r="A35" s="216"/>
      <c r="B35" s="217"/>
      <c r="C35" s="229"/>
      <c r="D35" s="409"/>
      <c r="E35" s="409"/>
      <c r="F35" s="409"/>
      <c r="G35" s="219"/>
      <c r="H35" s="219"/>
      <c r="I35" s="219"/>
      <c r="J35" s="219"/>
      <c r="K35" s="219"/>
      <c r="L35" s="219"/>
      <c r="M35" s="219"/>
    </row>
    <row r="36" spans="1:13" s="220" customFormat="1" ht="16.5" customHeight="1" thickBot="1">
      <c r="A36" s="216">
        <v>49</v>
      </c>
      <c r="B36" s="217"/>
      <c r="C36" s="235" t="s">
        <v>202</v>
      </c>
      <c r="D36" s="567">
        <f>CE49000_CA2</f>
        <v>0</v>
      </c>
      <c r="E36" s="573">
        <f>CE49000_BE1</f>
        <v>0</v>
      </c>
      <c r="F36" s="574">
        <f>CE49000_BP0</f>
        <v>0</v>
      </c>
      <c r="G36" s="219"/>
      <c r="H36" s="219"/>
      <c r="I36" s="219"/>
      <c r="J36" s="219"/>
      <c r="K36" s="219"/>
      <c r="L36" s="219"/>
      <c r="M36" s="219"/>
    </row>
    <row r="37" spans="1:13" s="220" customFormat="1" ht="6" customHeight="1" thickBot="1">
      <c r="A37" s="216"/>
      <c r="B37" s="217"/>
      <c r="C37" s="229"/>
      <c r="D37" s="409"/>
      <c r="E37" s="409"/>
      <c r="F37" s="409"/>
      <c r="G37" s="219"/>
      <c r="H37" s="219"/>
      <c r="I37" s="219"/>
      <c r="J37" s="219"/>
      <c r="K37" s="219"/>
      <c r="L37" s="219"/>
      <c r="M37" s="219"/>
    </row>
    <row r="38" spans="1:13" s="220" customFormat="1" ht="16.5" customHeight="1" thickBot="1">
      <c r="A38" s="216">
        <v>59</v>
      </c>
      <c r="B38" s="217"/>
      <c r="C38" s="235" t="s">
        <v>203</v>
      </c>
      <c r="D38" s="567">
        <f>CE59000_CA2</f>
        <v>0</v>
      </c>
      <c r="E38" s="573">
        <f>CE59000_BE1</f>
        <v>0</v>
      </c>
      <c r="F38" s="574">
        <f>CE59000_BP0</f>
        <v>0</v>
      </c>
      <c r="G38" s="219"/>
      <c r="H38" s="219"/>
      <c r="I38" s="219"/>
      <c r="J38" s="219"/>
      <c r="K38" s="219"/>
      <c r="L38" s="219"/>
      <c r="M38" s="219"/>
    </row>
    <row r="39" spans="1:13" s="220" customFormat="1" ht="6" customHeight="1">
      <c r="A39" s="236"/>
      <c r="B39" s="217"/>
      <c r="C39" s="237"/>
      <c r="D39" s="409"/>
      <c r="E39" s="409"/>
      <c r="F39" s="409"/>
      <c r="G39" s="223"/>
      <c r="H39" s="223"/>
      <c r="I39" s="223"/>
      <c r="J39" s="223"/>
      <c r="K39" s="223"/>
      <c r="L39" s="223"/>
      <c r="M39" s="219"/>
    </row>
    <row r="40" spans="1:13" s="220" customFormat="1" ht="3.75" customHeight="1" thickBot="1">
      <c r="A40" s="236"/>
      <c r="B40" s="217"/>
      <c r="C40" s="237"/>
      <c r="D40" s="223"/>
      <c r="E40" s="223"/>
      <c r="F40" s="223"/>
      <c r="G40" s="223"/>
      <c r="H40" s="223"/>
      <c r="I40" s="223"/>
      <c r="J40" s="223"/>
      <c r="K40" s="223"/>
      <c r="L40" s="223"/>
      <c r="M40" s="219"/>
    </row>
    <row r="41" spans="1:13" ht="20.25" hidden="1" thickBot="1">
      <c r="A41" s="602"/>
      <c r="B41" s="238"/>
      <c r="C41" s="239" t="s">
        <v>16</v>
      </c>
      <c r="D41" s="603">
        <f>IF(SUM(D3:D39)-SUM('section invest ressources'!D3:D38)&lt;0,-SUM(D3:D39)+SUM('section invest ressources'!D3:D38),0)</f>
        <v>0</v>
      </c>
      <c r="E41" s="603">
        <f>IF(SUM(E3:E39)-SUM('section invest ressources'!E3:E38)&lt;0,-SUM(E3:E39)+SUM('section invest ressources'!E3:E38),0)</f>
        <v>0</v>
      </c>
      <c r="F41" s="603">
        <f>IF(SUM(F3:F39)-SUM('section invest ressources'!F3:F38)&lt;0,-SUM(F3:F39)+SUM('section invest ressources'!F3:F38),0)</f>
        <v>0</v>
      </c>
      <c r="G41" s="233"/>
      <c r="H41" s="233"/>
      <c r="I41" s="233"/>
      <c r="J41" s="233"/>
      <c r="K41" s="233"/>
      <c r="L41" s="233"/>
      <c r="M41" s="233"/>
    </row>
    <row r="42" spans="1:13" s="220" customFormat="1" ht="20.25" customHeight="1" hidden="1" thickBot="1">
      <c r="A42" s="236"/>
      <c r="B42" s="217"/>
      <c r="C42" s="240"/>
      <c r="D42" s="223"/>
      <c r="E42" s="223"/>
      <c r="F42" s="223"/>
      <c r="G42" s="223"/>
      <c r="H42" s="223"/>
      <c r="I42" s="223"/>
      <c r="J42" s="223"/>
      <c r="K42" s="223"/>
      <c r="L42" s="223"/>
      <c r="M42" s="219"/>
    </row>
    <row r="43" spans="1:13" ht="20.25" thickBot="1">
      <c r="A43" s="241">
        <v>1</v>
      </c>
      <c r="B43" s="238"/>
      <c r="C43" s="239" t="s">
        <v>6</v>
      </c>
      <c r="D43" s="567">
        <f>REPORTRESE_CA2</f>
        <v>0</v>
      </c>
      <c r="E43" s="573">
        <f>REPORTRESE_BE1</f>
        <v>0</v>
      </c>
      <c r="F43" s="574">
        <f>REPORTRESE_BP0</f>
        <v>0</v>
      </c>
      <c r="G43" s="233"/>
      <c r="H43" s="233"/>
      <c r="I43" s="233"/>
      <c r="J43" s="233"/>
      <c r="K43" s="233"/>
      <c r="L43" s="233"/>
      <c r="M43" s="233"/>
    </row>
    <row r="44" spans="1:13" s="220" customFormat="1" ht="20.25" customHeight="1" thickBot="1">
      <c r="A44" s="241">
        <v>4</v>
      </c>
      <c r="B44" s="217"/>
      <c r="C44" s="239" t="s">
        <v>246</v>
      </c>
      <c r="D44" s="567">
        <f>AMORTEXEDIFE_CA2</f>
        <v>0</v>
      </c>
      <c r="E44" s="573">
        <f>AMORTEXEDIFE_BE1</f>
        <v>0</v>
      </c>
      <c r="F44" s="574">
        <f>AMORTEXEDIFE_BP0</f>
        <v>0</v>
      </c>
      <c r="G44" s="223"/>
      <c r="H44" s="223"/>
      <c r="I44" s="223"/>
      <c r="J44" s="223"/>
      <c r="K44" s="223"/>
      <c r="L44" s="223"/>
      <c r="M44" s="219"/>
    </row>
    <row r="45" spans="1:13" ht="20.25" thickBot="1">
      <c r="A45" s="241">
        <v>3</v>
      </c>
      <c r="B45" s="238"/>
      <c r="C45" s="239" t="s">
        <v>15</v>
      </c>
      <c r="D45" s="607">
        <f>IF(+'section invest ressources'!D43-'section invest ressources'!D40+'section invest emplois'!D41-'section invest emplois'!D43&gt;0,ABS(+'section invest ressources'!D43-'section invest ressources'!D40+'section invest emplois'!D41-'section invest emplois'!D43),0)</f>
        <v>0</v>
      </c>
      <c r="E45" s="607">
        <f>IF(+'section invest ressources'!E43-'section invest ressources'!E40+'section invest emplois'!E41-'section invest emplois'!E43&gt;0,ABS(+'section invest ressources'!E43-'section invest ressources'!E40+'section invest emplois'!E41-'section invest emplois'!E43),0)</f>
        <v>0</v>
      </c>
      <c r="F45" s="607">
        <f>IF(+'section invest ressources'!F43-'section invest ressources'!F40+'section invest emplois'!F41-'section invest emplois'!F43&gt;0,ABS(+'section invest ressources'!F43-'section invest ressources'!F40+'section invest emplois'!F41-'section invest emplois'!F43),0)</f>
        <v>0</v>
      </c>
      <c r="G45" s="233"/>
      <c r="H45" s="233"/>
      <c r="I45" s="233"/>
      <c r="J45" s="233"/>
      <c r="K45" s="233"/>
      <c r="L45" s="233"/>
      <c r="M45" s="233"/>
    </row>
    <row r="46" spans="1:13" s="220" customFormat="1" ht="6.75" customHeight="1" thickBot="1">
      <c r="A46" s="236"/>
      <c r="B46" s="217"/>
      <c r="C46" s="237"/>
      <c r="D46" s="409"/>
      <c r="E46" s="409"/>
      <c r="F46" s="409"/>
      <c r="G46" s="223"/>
      <c r="H46" s="223"/>
      <c r="I46" s="223"/>
      <c r="J46" s="223"/>
      <c r="K46" s="223"/>
      <c r="L46" s="223"/>
      <c r="M46" s="219"/>
    </row>
    <row r="47" spans="1:13" s="246" customFormat="1" ht="24" customHeight="1" thickBot="1">
      <c r="A47" s="242"/>
      <c r="B47" s="243"/>
      <c r="C47" s="244" t="s">
        <v>204</v>
      </c>
      <c r="D47" s="539">
        <f>SUM(D3:D45)-D41</f>
        <v>0</v>
      </c>
      <c r="E47" s="539">
        <f>SUM(E3:E45)-E41</f>
        <v>0</v>
      </c>
      <c r="F47" s="539">
        <f>SUM(F3:F45)-F41</f>
        <v>0</v>
      </c>
      <c r="G47" s="245"/>
      <c r="H47" s="245"/>
      <c r="I47" s="245"/>
      <c r="J47" s="245"/>
      <c r="K47" s="245"/>
      <c r="L47" s="245"/>
      <c r="M47" s="245"/>
    </row>
  </sheetData>
  <sheetProtection password="B34F" sheet="1" formatCells="0" formatColumns="0" formatRows="0"/>
  <printOptions horizontalCentered="1"/>
  <pageMargins left="0.3937007874015748" right="0" top="0.61" bottom="0.31" header="0.2362204724409449" footer="0.31"/>
  <pageSetup firstPageNumber="11" useFirstPageNumber="1" horizontalDpi="600" verticalDpi="600" orientation="landscape" paperSize="9" scale="76" r:id="rId2"/>
  <headerFooter alignWithMargins="0">
    <oddHeader>&amp;L&amp;"Times New Roman,Gras"&amp;14 ANNEXE 1-3 . 1 : Section d'investissement : emplois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2:M47"/>
  <sheetViews>
    <sheetView showZeros="0" zoomScale="85" zoomScaleNormal="85" zoomScalePageLayoutView="0" workbookViewId="0" topLeftCell="A1">
      <selection activeCell="D3" sqref="D3"/>
    </sheetView>
  </sheetViews>
  <sheetFormatPr defaultColWidth="11.421875" defaultRowHeight="12.75"/>
  <cols>
    <col min="1" max="1" width="7.7109375" style="247" customWidth="1"/>
    <col min="2" max="2" width="1.1484375" style="248" customWidth="1"/>
    <col min="3" max="3" width="87.7109375" style="249" customWidth="1"/>
    <col min="4" max="6" width="24.7109375" style="250" customWidth="1"/>
    <col min="7" max="7" width="1.28515625" style="250" customWidth="1"/>
    <col min="8" max="16384" width="11.421875" style="250" customWidth="1"/>
  </cols>
  <sheetData>
    <row r="1" ht="51.75" customHeight="1"/>
    <row r="2" spans="1:6" ht="25.5" customHeight="1" thickBot="1">
      <c r="A2" s="251" t="s">
        <v>205</v>
      </c>
      <c r="B2" s="252"/>
      <c r="C2" s="253"/>
      <c r="D2" s="254"/>
      <c r="E2" s="254"/>
      <c r="F2" s="254"/>
    </row>
    <row r="3" spans="1:6" ht="16.5" customHeight="1">
      <c r="A3" s="255">
        <v>10</v>
      </c>
      <c r="B3" s="256"/>
      <c r="C3" s="257" t="s">
        <v>184</v>
      </c>
      <c r="D3" s="575">
        <f>CR10000_CA2</f>
        <v>0</v>
      </c>
      <c r="E3" s="575">
        <f>CR10000_BE1</f>
        <v>0</v>
      </c>
      <c r="F3" s="576">
        <f>CR10000_BP0</f>
        <v>0</v>
      </c>
    </row>
    <row r="4" spans="1:6" ht="16.5" customHeight="1">
      <c r="A4" s="216">
        <v>1161</v>
      </c>
      <c r="B4" s="217"/>
      <c r="C4" s="231" t="s">
        <v>246</v>
      </c>
      <c r="D4" s="682">
        <f>CR11610_CA2</f>
        <v>0</v>
      </c>
      <c r="E4" s="682">
        <f>CR11610_BE1</f>
        <v>0</v>
      </c>
      <c r="F4" s="683">
        <f>CR11610_BP0</f>
        <v>0</v>
      </c>
    </row>
    <row r="5" spans="1:6" ht="16.5" customHeight="1" thickBot="1">
      <c r="A5" s="216">
        <v>13</v>
      </c>
      <c r="B5" s="217"/>
      <c r="C5" s="221" t="s">
        <v>278</v>
      </c>
      <c r="D5" s="577">
        <f>CR13000_CA2</f>
        <v>0</v>
      </c>
      <c r="E5" s="577">
        <f>CR13000_BE1</f>
        <v>0</v>
      </c>
      <c r="F5" s="578">
        <f>CR13000_BP0</f>
        <v>0</v>
      </c>
    </row>
    <row r="6" spans="2:6" ht="3.75" customHeight="1">
      <c r="B6" s="250"/>
      <c r="C6" s="253"/>
      <c r="D6" s="413"/>
      <c r="E6" s="413"/>
      <c r="F6" s="413"/>
    </row>
    <row r="7" spans="1:6" ht="25.5" customHeight="1" thickBot="1">
      <c r="A7" s="251" t="s">
        <v>206</v>
      </c>
      <c r="B7" s="252"/>
      <c r="D7" s="329"/>
      <c r="E7" s="329"/>
      <c r="F7" s="329"/>
    </row>
    <row r="8" spans="1:6" ht="16.5" customHeight="1">
      <c r="A8" s="255">
        <v>14</v>
      </c>
      <c r="B8" s="256"/>
      <c r="C8" s="258" t="s">
        <v>186</v>
      </c>
      <c r="D8" s="575">
        <f>CR14000_CA2</f>
        <v>0</v>
      </c>
      <c r="E8" s="575">
        <f>CR14000_BE1</f>
        <v>0</v>
      </c>
      <c r="F8" s="576">
        <f>CR14000_BP0</f>
        <v>0</v>
      </c>
    </row>
    <row r="9" spans="1:6" ht="16.5" customHeight="1" thickBot="1">
      <c r="A9" s="255">
        <v>15</v>
      </c>
      <c r="B9" s="256"/>
      <c r="C9" s="259" t="s">
        <v>187</v>
      </c>
      <c r="D9" s="577">
        <f>CR15000_CA2</f>
        <v>0</v>
      </c>
      <c r="E9" s="577">
        <f>CR15000_BE1</f>
        <v>0</v>
      </c>
      <c r="F9" s="578">
        <f>CR15000_BP0</f>
        <v>0</v>
      </c>
    </row>
    <row r="10" spans="2:6" ht="3.75" customHeight="1">
      <c r="B10" s="250"/>
      <c r="C10" s="253"/>
      <c r="D10" s="413"/>
      <c r="E10" s="413"/>
      <c r="F10" s="413"/>
    </row>
    <row r="11" spans="1:6" ht="25.5" customHeight="1" thickBot="1">
      <c r="A11" s="251" t="s">
        <v>207</v>
      </c>
      <c r="B11" s="252"/>
      <c r="C11" s="260"/>
      <c r="D11" s="329"/>
      <c r="E11" s="329"/>
      <c r="F11" s="329"/>
    </row>
    <row r="12" spans="1:6" ht="16.5" customHeight="1">
      <c r="A12" s="255">
        <v>16</v>
      </c>
      <c r="B12" s="256"/>
      <c r="C12" s="257" t="s">
        <v>189</v>
      </c>
      <c r="D12" s="579">
        <f>CR16000_CA2</f>
        <v>0</v>
      </c>
      <c r="E12" s="579">
        <f>CR16000_BE1</f>
        <v>0</v>
      </c>
      <c r="F12" s="580">
        <f>CR16000_BP0</f>
        <v>0</v>
      </c>
    </row>
    <row r="13" spans="1:6" ht="16.5" customHeight="1" thickBot="1">
      <c r="A13" s="255">
        <v>17</v>
      </c>
      <c r="B13" s="256"/>
      <c r="C13" s="437" t="s">
        <v>5</v>
      </c>
      <c r="D13" s="581">
        <f>CR17000_CA2</f>
        <v>0</v>
      </c>
      <c r="E13" s="577">
        <f>CR17000_BE1</f>
        <v>0</v>
      </c>
      <c r="F13" s="578">
        <f>CR17000_BP0</f>
        <v>0</v>
      </c>
    </row>
    <row r="14" spans="1:6" ht="5.25" customHeight="1">
      <c r="A14" s="262"/>
      <c r="B14" s="263"/>
      <c r="C14" s="264"/>
      <c r="D14" s="328"/>
      <c r="E14" s="328"/>
      <c r="F14" s="328"/>
    </row>
    <row r="15" spans="1:6" ht="25.5" customHeight="1" thickBot="1">
      <c r="A15" s="251" t="s">
        <v>190</v>
      </c>
      <c r="B15" s="252"/>
      <c r="C15" s="260"/>
      <c r="D15" s="329"/>
      <c r="E15" s="329"/>
      <c r="F15" s="329"/>
    </row>
    <row r="16" spans="1:6" ht="16.5" customHeight="1" thickBot="1">
      <c r="A16" s="255">
        <v>18</v>
      </c>
      <c r="B16" s="256"/>
      <c r="C16" s="261" t="s">
        <v>13</v>
      </c>
      <c r="D16" s="582">
        <f>CR18000_CA2</f>
        <v>0</v>
      </c>
      <c r="E16" s="582">
        <f>CR18000_BE1</f>
        <v>0</v>
      </c>
      <c r="F16" s="583">
        <f>CR18000_BP0</f>
        <v>0</v>
      </c>
    </row>
    <row r="17" spans="1:6" ht="3.75" customHeight="1">
      <c r="A17" s="262"/>
      <c r="B17" s="263"/>
      <c r="C17" s="264"/>
      <c r="D17" s="328"/>
      <c r="E17" s="328"/>
      <c r="F17" s="328"/>
    </row>
    <row r="18" spans="1:6" ht="25.5" customHeight="1" thickBot="1">
      <c r="A18" s="251" t="s">
        <v>208</v>
      </c>
      <c r="B18" s="252"/>
      <c r="C18" s="260"/>
      <c r="D18" s="329"/>
      <c r="E18" s="329"/>
      <c r="F18" s="329"/>
    </row>
    <row r="19" spans="1:6" ht="16.5" customHeight="1">
      <c r="A19" s="255">
        <v>20</v>
      </c>
      <c r="B19" s="256"/>
      <c r="C19" s="258" t="s">
        <v>192</v>
      </c>
      <c r="D19" s="575">
        <f>CR20000_CA2</f>
        <v>0</v>
      </c>
      <c r="E19" s="575">
        <f>CR20000_BE1</f>
        <v>0</v>
      </c>
      <c r="F19" s="576">
        <f>CR20000_BP0</f>
        <v>0</v>
      </c>
    </row>
    <row r="20" spans="1:6" ht="16.5" customHeight="1">
      <c r="A20" s="255">
        <v>21</v>
      </c>
      <c r="B20" s="256"/>
      <c r="C20" s="265" t="s">
        <v>193</v>
      </c>
      <c r="D20" s="584">
        <f>CR21000_CA2</f>
        <v>0</v>
      </c>
      <c r="E20" s="584">
        <f>CR21000_BE1</f>
        <v>0</v>
      </c>
      <c r="F20" s="585">
        <f>CR21000_BP0</f>
        <v>0</v>
      </c>
    </row>
    <row r="21" spans="1:6" ht="16.5" customHeight="1">
      <c r="A21" s="255">
        <v>22</v>
      </c>
      <c r="B21" s="256"/>
      <c r="C21" s="265" t="s">
        <v>194</v>
      </c>
      <c r="D21" s="584">
        <f>CR22000_CA2</f>
        <v>0</v>
      </c>
      <c r="E21" s="584">
        <f>CR22000_BE1</f>
        <v>0</v>
      </c>
      <c r="F21" s="585">
        <f>CR22000_BP0</f>
        <v>0</v>
      </c>
    </row>
    <row r="22" spans="1:6" ht="16.5" customHeight="1">
      <c r="A22" s="255">
        <v>23</v>
      </c>
      <c r="B22" s="256"/>
      <c r="C22" s="265" t="s">
        <v>195</v>
      </c>
      <c r="D22" s="584">
        <f>CR23000_CA2</f>
        <v>0</v>
      </c>
      <c r="E22" s="584">
        <f>CR23000_BE1</f>
        <v>0</v>
      </c>
      <c r="F22" s="585">
        <f>CR23000_BP0</f>
        <v>0</v>
      </c>
    </row>
    <row r="23" spans="1:6" ht="16.5" customHeight="1">
      <c r="A23" s="255">
        <v>24</v>
      </c>
      <c r="B23" s="256"/>
      <c r="C23" s="265" t="s">
        <v>18</v>
      </c>
      <c r="D23" s="584">
        <f>CR24000_CA2</f>
        <v>0</v>
      </c>
      <c r="E23" s="584">
        <f>CR24000_BE1</f>
        <v>0</v>
      </c>
      <c r="F23" s="585">
        <f>CR24000_BP0</f>
        <v>0</v>
      </c>
    </row>
    <row r="24" spans="1:6" ht="16.5" customHeight="1">
      <c r="A24" s="255">
        <v>26</v>
      </c>
      <c r="B24" s="256"/>
      <c r="C24" s="265" t="s">
        <v>196</v>
      </c>
      <c r="D24" s="584">
        <f>CR26000_CA2</f>
        <v>0</v>
      </c>
      <c r="E24" s="584">
        <f>CR26000_BE1</f>
        <v>0</v>
      </c>
      <c r="F24" s="585">
        <f>CR26000_BP0</f>
        <v>0</v>
      </c>
    </row>
    <row r="25" spans="1:6" ht="16.5" customHeight="1" thickBot="1">
      <c r="A25" s="255">
        <v>27</v>
      </c>
      <c r="B25" s="256"/>
      <c r="C25" s="259" t="s">
        <v>197</v>
      </c>
      <c r="D25" s="577">
        <f>CR27000_CA2</f>
        <v>0</v>
      </c>
      <c r="E25" s="577">
        <f>CR27000_BE1</f>
        <v>0</v>
      </c>
      <c r="F25" s="578">
        <f>CR27000_BP0</f>
        <v>0</v>
      </c>
    </row>
    <row r="26" spans="1:6" ht="3.75" customHeight="1">
      <c r="A26" s="262"/>
      <c r="B26" s="263"/>
      <c r="C26" s="264"/>
      <c r="D26" s="328"/>
      <c r="E26" s="328"/>
      <c r="F26" s="328"/>
    </row>
    <row r="27" spans="1:6" ht="25.5" customHeight="1" thickBot="1">
      <c r="A27" s="251" t="s">
        <v>78</v>
      </c>
      <c r="B27" s="252"/>
      <c r="C27" s="260"/>
      <c r="D27" s="329"/>
      <c r="E27" s="329"/>
      <c r="F27" s="329"/>
    </row>
    <row r="28" spans="1:6" ht="16.5" customHeight="1" thickBot="1">
      <c r="A28" s="255">
        <v>28</v>
      </c>
      <c r="B28" s="256"/>
      <c r="C28" s="261" t="s">
        <v>209</v>
      </c>
      <c r="D28" s="582">
        <f>CR28000_CA2</f>
        <v>0</v>
      </c>
      <c r="E28" s="582">
        <f>CR28000_BE1</f>
        <v>0</v>
      </c>
      <c r="F28" s="583">
        <f>CR28000_BP0</f>
        <v>0</v>
      </c>
    </row>
    <row r="29" spans="1:6" ht="6" customHeight="1" thickBot="1">
      <c r="A29" s="262"/>
      <c r="B29" s="263"/>
      <c r="C29" s="264"/>
      <c r="D29" s="328"/>
      <c r="E29" s="328"/>
      <c r="F29" s="328"/>
    </row>
    <row r="30" spans="1:6" ht="16.5" customHeight="1" thickBot="1">
      <c r="A30" s="255">
        <v>29</v>
      </c>
      <c r="B30" s="256"/>
      <c r="C30" s="261" t="s">
        <v>210</v>
      </c>
      <c r="D30" s="582">
        <f>CR29000_CA2</f>
        <v>0</v>
      </c>
      <c r="E30" s="582">
        <f>CR29000_BE1</f>
        <v>0</v>
      </c>
      <c r="F30" s="583">
        <f>CR29000_BP0</f>
        <v>0</v>
      </c>
    </row>
    <row r="31" spans="1:6" ht="6" customHeight="1" thickBot="1">
      <c r="A31" s="255"/>
      <c r="B31" s="256"/>
      <c r="C31" s="266"/>
      <c r="D31" s="328"/>
      <c r="E31" s="328"/>
      <c r="F31" s="328"/>
    </row>
    <row r="32" spans="1:6" ht="16.5" customHeight="1" thickBot="1">
      <c r="A32" s="255">
        <v>39</v>
      </c>
      <c r="B32" s="256"/>
      <c r="C32" s="267" t="s">
        <v>200</v>
      </c>
      <c r="D32" s="582">
        <f>CR39000_CA2</f>
        <v>0</v>
      </c>
      <c r="E32" s="582">
        <f>CR39000_BE1</f>
        <v>0</v>
      </c>
      <c r="F32" s="586">
        <f>CR39000_BP0</f>
        <v>0</v>
      </c>
    </row>
    <row r="33" spans="2:6" ht="6" customHeight="1" thickBot="1">
      <c r="B33" s="250"/>
      <c r="C33" s="253"/>
      <c r="D33" s="414"/>
      <c r="E33" s="414"/>
      <c r="F33" s="414"/>
    </row>
    <row r="34" spans="1:6" ht="16.5" customHeight="1" thickBot="1">
      <c r="A34" s="255">
        <v>481</v>
      </c>
      <c r="B34" s="256"/>
      <c r="C34" s="261" t="s">
        <v>211</v>
      </c>
      <c r="D34" s="582">
        <f>CR48100_CA2</f>
        <v>0</v>
      </c>
      <c r="E34" s="582">
        <f>CR48100_BE1</f>
        <v>0</v>
      </c>
      <c r="F34" s="583">
        <f>CR48100_BP0</f>
        <v>0</v>
      </c>
    </row>
    <row r="35" spans="1:6" ht="6" customHeight="1" thickBot="1">
      <c r="A35" s="262"/>
      <c r="B35" s="263"/>
      <c r="C35" s="264"/>
      <c r="D35" s="328"/>
      <c r="E35" s="328"/>
      <c r="F35" s="328"/>
    </row>
    <row r="36" spans="1:6" ht="16.5" customHeight="1" thickBot="1">
      <c r="A36" s="255">
        <v>49</v>
      </c>
      <c r="B36" s="256"/>
      <c r="C36" s="267" t="s">
        <v>212</v>
      </c>
      <c r="D36" s="582">
        <f>CR49000_CA2</f>
        <v>0</v>
      </c>
      <c r="E36" s="587">
        <f>CR49000_BE1</f>
        <v>0</v>
      </c>
      <c r="F36" s="586">
        <f>CR49000_BP0</f>
        <v>0</v>
      </c>
    </row>
    <row r="37" spans="1:6" ht="6" customHeight="1" thickBot="1">
      <c r="A37" s="262"/>
      <c r="B37" s="263"/>
      <c r="C37" s="264"/>
      <c r="D37" s="328"/>
      <c r="E37" s="328"/>
      <c r="F37" s="328"/>
    </row>
    <row r="38" spans="1:6" ht="16.5" customHeight="1" thickBot="1">
      <c r="A38" s="255">
        <v>59</v>
      </c>
      <c r="B38" s="256"/>
      <c r="C38" s="267" t="s">
        <v>213</v>
      </c>
      <c r="D38" s="582">
        <f>CR59000_CA2</f>
        <v>0</v>
      </c>
      <c r="E38" s="587">
        <f>CR59000_BE1</f>
        <v>0</v>
      </c>
      <c r="F38" s="586">
        <f>CR59000_BP0</f>
        <v>0</v>
      </c>
    </row>
    <row r="39" spans="1:6" ht="4.5" customHeight="1">
      <c r="A39" s="262"/>
      <c r="B39" s="263"/>
      <c r="C39" s="264"/>
      <c r="D39" s="604"/>
      <c r="E39" s="604"/>
      <c r="F39" s="604"/>
    </row>
    <row r="40" spans="1:13" s="271" customFormat="1" ht="20.25" hidden="1" thickBot="1">
      <c r="A40" s="605"/>
      <c r="B40" s="268"/>
      <c r="C40" s="269" t="s">
        <v>17</v>
      </c>
      <c r="D40" s="606">
        <f>IF(SUM(D3:D38)-SUM('section invest emplois'!D3:D38)&lt;0,-SUM(D3:D38)+SUM('section invest emplois'!D3:D38),0)</f>
        <v>0</v>
      </c>
      <c r="E40" s="606">
        <f>IF(SUM(E3:E38)-SUM('section invest emplois'!E3:E38)&lt;0,-SUM(E3:E38)+SUM('section invest emplois'!E3:E38),0)</f>
        <v>0</v>
      </c>
      <c r="F40" s="606">
        <f>IF(SUM(F3:F38)-SUM('section invest emplois'!F3:F38)&lt;0,-SUM(F3:F38)+SUM('section invest emplois'!F3:F38),0)</f>
        <v>0</v>
      </c>
      <c r="G40" s="270"/>
      <c r="H40" s="270"/>
      <c r="I40" s="270"/>
      <c r="J40" s="270"/>
      <c r="K40" s="270"/>
      <c r="L40" s="270"/>
      <c r="M40" s="270"/>
    </row>
    <row r="41" spans="1:6" ht="6" customHeight="1">
      <c r="A41" s="262"/>
      <c r="B41" s="263"/>
      <c r="C41" s="272"/>
      <c r="D41" s="604"/>
      <c r="E41" s="604"/>
      <c r="F41" s="604"/>
    </row>
    <row r="42" spans="1:6" ht="6" customHeight="1" thickBot="1">
      <c r="A42" s="262"/>
      <c r="B42" s="263"/>
      <c r="C42" s="264"/>
      <c r="D42" s="328"/>
      <c r="E42" s="328"/>
      <c r="F42" s="328"/>
    </row>
    <row r="43" spans="1:13" s="271" customFormat="1" ht="20.25" thickBot="1">
      <c r="A43" s="520" t="s">
        <v>7</v>
      </c>
      <c r="B43" s="268"/>
      <c r="C43" s="269" t="s">
        <v>8</v>
      </c>
      <c r="D43" s="582">
        <f>REPORTRESR_CA2</f>
        <v>0</v>
      </c>
      <c r="E43" s="587">
        <f>REPORTRESR_BE1</f>
        <v>0</v>
      </c>
      <c r="F43" s="586">
        <f>REPORTRESR_BP0</f>
        <v>0</v>
      </c>
      <c r="G43" s="270"/>
      <c r="H43" s="270"/>
      <c r="I43" s="270"/>
      <c r="J43" s="270"/>
      <c r="K43" s="270"/>
      <c r="L43" s="270"/>
      <c r="M43" s="270"/>
    </row>
    <row r="44" spans="1:6" ht="18" customHeight="1" thickBot="1">
      <c r="A44" s="520" t="s">
        <v>279</v>
      </c>
      <c r="B44" s="268"/>
      <c r="C44" s="239" t="s">
        <v>246</v>
      </c>
      <c r="D44" s="582">
        <f>AMORTEXEDIFR_CA2</f>
        <v>0</v>
      </c>
      <c r="E44" s="587">
        <f>AMORTEXEDIFR_BE1</f>
        <v>0</v>
      </c>
      <c r="F44" s="586">
        <f>AMORTEXEDIFR_BP0</f>
        <v>0</v>
      </c>
    </row>
    <row r="45" spans="1:13" s="271" customFormat="1" ht="20.25" thickBot="1">
      <c r="A45" s="521"/>
      <c r="B45" s="268"/>
      <c r="C45" s="269" t="s">
        <v>12</v>
      </c>
      <c r="D45" s="607">
        <f>IF(+D43-D40+'section invest emplois'!D41-'section invest emplois'!D43&lt;0,ABS(+D43-D40+'section invest emplois'!D41-'section invest emplois'!D43),0)</f>
        <v>0</v>
      </c>
      <c r="E45" s="607">
        <f>IF(+E43-E40+'section invest emplois'!E41-'section invest emplois'!E43&lt;0,ABS(+E43-E40+'section invest emplois'!E41-'section invest emplois'!E43),0)</f>
        <v>0</v>
      </c>
      <c r="F45" s="607">
        <f>IF(+F43-F40+'section invest emplois'!F41-'section invest emplois'!F43&lt;0,ABS(+F43-F40+'section invest emplois'!F41-'section invest emplois'!F43),0)</f>
        <v>0</v>
      </c>
      <c r="G45" s="270"/>
      <c r="H45" s="270"/>
      <c r="I45" s="270"/>
      <c r="J45" s="270"/>
      <c r="K45" s="270"/>
      <c r="L45" s="270"/>
      <c r="M45" s="270"/>
    </row>
    <row r="46" spans="1:6" ht="9" customHeight="1" thickBot="1">
      <c r="A46" s="262"/>
      <c r="B46" s="263"/>
      <c r="C46" s="264"/>
      <c r="D46" s="328"/>
      <c r="E46" s="328"/>
      <c r="F46" s="328"/>
    </row>
    <row r="47" spans="1:6" ht="24" customHeight="1" thickBot="1">
      <c r="A47" s="273"/>
      <c r="B47" s="274"/>
      <c r="C47" s="275" t="s">
        <v>204</v>
      </c>
      <c r="D47" s="518">
        <f>SUM(D3:D45)-D40</f>
        <v>0</v>
      </c>
      <c r="E47" s="518">
        <f>SUM(E3:E45)-E40</f>
        <v>0</v>
      </c>
      <c r="F47" s="518">
        <f>SUM(F3:F45)-F40</f>
        <v>0</v>
      </c>
    </row>
  </sheetData>
  <sheetProtection password="B34F" sheet="1" formatCells="0" formatColumns="0" formatRows="0"/>
  <printOptions horizontalCentered="1"/>
  <pageMargins left="0.3937007874015748" right="0.3937007874015748" top="0.6299212598425197" bottom="0" header="0.31496062992125984" footer="0"/>
  <pageSetup firstPageNumber="12" useFirstPageNumber="1" horizontalDpi="600" verticalDpi="600" orientation="landscape" paperSize="9" scale="70" r:id="rId2"/>
  <headerFooter alignWithMargins="0">
    <oddHeader>&amp;L&amp;"Times New Roman,Gras"&amp;14 ANNEXE 1-3 . 2 : Section d'investissement : Ressources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E27"/>
  <sheetViews>
    <sheetView showZeros="0" zoomScale="85" zoomScaleNormal="85" zoomScalePageLayoutView="0" workbookViewId="0" topLeftCell="A1">
      <selection activeCell="C6" sqref="C6"/>
    </sheetView>
  </sheetViews>
  <sheetFormatPr defaultColWidth="11.421875" defaultRowHeight="12.75"/>
  <cols>
    <col min="1" max="1" width="8.421875" style="284" customWidth="1"/>
    <col min="2" max="2" width="53.00390625" style="285" customWidth="1"/>
    <col min="3" max="3" width="34.57421875" style="276" customWidth="1"/>
    <col min="4" max="4" width="34.57421875" style="286" customWidth="1"/>
    <col min="5" max="5" width="12.7109375" style="276" bestFit="1" customWidth="1"/>
    <col min="6" max="16384" width="11.421875" style="276" customWidth="1"/>
  </cols>
  <sheetData>
    <row r="1" spans="1:4" ht="48.75" customHeight="1">
      <c r="A1" s="863" t="s">
        <v>214</v>
      </c>
      <c r="B1" s="864"/>
      <c r="C1" s="864"/>
      <c r="D1" s="864"/>
    </row>
    <row r="2" spans="1:4" s="277" customFormat="1" ht="61.5" customHeight="1">
      <c r="A2" s="332"/>
      <c r="B2" s="330"/>
      <c r="C2" s="333"/>
      <c r="D2" s="333"/>
    </row>
    <row r="3" spans="1:4" s="278" customFormat="1" ht="24" customHeight="1" thickBot="1">
      <c r="A3" s="332"/>
      <c r="B3" s="331"/>
      <c r="C3" s="334"/>
      <c r="D3" s="334"/>
    </row>
    <row r="4" spans="1:4" s="279" customFormat="1" ht="30" customHeight="1" thickBot="1">
      <c r="A4" s="610" t="s">
        <v>215</v>
      </c>
      <c r="B4" s="611" t="s">
        <v>216</v>
      </c>
      <c r="C4" s="433">
        <f>+'Charges d''exploitation'!H125</f>
        <v>0</v>
      </c>
      <c r="D4" s="434">
        <f>+'Charges d''exploitation'!I125</f>
        <v>0</v>
      </c>
    </row>
    <row r="5" spans="1:5" s="279" customFormat="1" ht="30" customHeight="1" thickBot="1">
      <c r="A5" s="610" t="s">
        <v>217</v>
      </c>
      <c r="B5" s="613" t="s">
        <v>14</v>
      </c>
      <c r="C5" s="435">
        <f>produits!H46+produits!H82</f>
        <v>0</v>
      </c>
      <c r="D5" s="436">
        <f>produits!I46+produits!I82</f>
        <v>0</v>
      </c>
      <c r="E5" s="415"/>
    </row>
    <row r="6" spans="1:5" s="279" customFormat="1" ht="51">
      <c r="A6" s="335" t="s">
        <v>218</v>
      </c>
      <c r="B6" s="612" t="s">
        <v>28</v>
      </c>
      <c r="C6" s="588">
        <f>NRTREPRISEAFFBPPN0</f>
        <v>0</v>
      </c>
      <c r="D6" s="589">
        <f>NRTREPRISEAFFBPRN0</f>
        <v>0</v>
      </c>
      <c r="E6" s="415"/>
    </row>
    <row r="7" spans="1:5" s="279" customFormat="1" ht="25.5">
      <c r="A7" s="335" t="s">
        <v>10</v>
      </c>
      <c r="B7" s="438" t="s">
        <v>29</v>
      </c>
      <c r="C7" s="588">
        <f>NRTDOT1161BPPN0</f>
        <v>0</v>
      </c>
      <c r="D7" s="589">
        <f>NRTDOT1161BPRN0</f>
        <v>0</v>
      </c>
      <c r="E7" s="415"/>
    </row>
    <row r="8" spans="1:5" s="279" customFormat="1" ht="38.25">
      <c r="A8" s="335" t="s">
        <v>9</v>
      </c>
      <c r="B8" s="438" t="s">
        <v>30</v>
      </c>
      <c r="C8" s="588">
        <f>NRTCONGPAYBPPN0</f>
        <v>0</v>
      </c>
      <c r="D8" s="589">
        <f>NRTCONGPAYBPRN0</f>
        <v>0</v>
      </c>
      <c r="E8" s="415"/>
    </row>
    <row r="9" spans="1:5" s="279" customFormat="1" ht="48.75" thickBot="1">
      <c r="A9" s="614" t="s">
        <v>31</v>
      </c>
      <c r="B9" s="615" t="s">
        <v>107</v>
      </c>
      <c r="C9" s="623">
        <f>NRTAUTDROITBPPN0</f>
        <v>0</v>
      </c>
      <c r="D9" s="624">
        <f>NRTAUTDROITBPRN0</f>
        <v>0</v>
      </c>
      <c r="E9" s="415"/>
    </row>
    <row r="10" spans="1:5" s="279" customFormat="1" ht="30" customHeight="1" thickBot="1">
      <c r="A10" s="616" t="s">
        <v>32</v>
      </c>
      <c r="B10" s="617" t="s">
        <v>33</v>
      </c>
      <c r="C10" s="625">
        <f>C4-(SUM(C5:C9))</f>
        <v>0</v>
      </c>
      <c r="D10" s="626">
        <f>D4-(SUM(D5:D9))</f>
        <v>0</v>
      </c>
      <c r="E10" s="415"/>
    </row>
    <row r="11" spans="1:5" s="279" customFormat="1" ht="30" customHeight="1" thickBot="1">
      <c r="A11" s="610" t="s">
        <v>34</v>
      </c>
      <c r="B11" s="620" t="s">
        <v>219</v>
      </c>
      <c r="C11" s="621">
        <f>produits!H87-'Charges d''exploitation'!H128</f>
        <v>0</v>
      </c>
      <c r="D11" s="622">
        <f>produits!I87-'Charges d''exploitation'!I128</f>
        <v>0</v>
      </c>
      <c r="E11" s="415"/>
    </row>
    <row r="12" spans="1:5" s="279" customFormat="1" ht="36" customHeight="1" thickBot="1">
      <c r="A12" s="610"/>
      <c r="B12" s="613" t="s">
        <v>35</v>
      </c>
      <c r="C12" s="618">
        <f>C10-C11</f>
        <v>0</v>
      </c>
      <c r="D12" s="619">
        <f>D10-D11</f>
        <v>0</v>
      </c>
      <c r="E12" s="415"/>
    </row>
    <row r="13" spans="1:4" s="279" customFormat="1" ht="30" customHeight="1" thickBot="1">
      <c r="A13" s="336" t="s">
        <v>220</v>
      </c>
      <c r="B13" s="628"/>
      <c r="C13" s="627"/>
      <c r="D13" s="591"/>
    </row>
    <row r="14" spans="1:4" s="279" customFormat="1" ht="9" customHeight="1" thickBot="1">
      <c r="A14" s="337"/>
      <c r="B14" s="338"/>
      <c r="C14" s="400"/>
      <c r="D14" s="401"/>
    </row>
    <row r="15" spans="1:4" s="279" customFormat="1" ht="30" customHeight="1" thickBot="1">
      <c r="A15" s="339" t="s">
        <v>11</v>
      </c>
      <c r="B15" s="340"/>
      <c r="C15" s="590">
        <f>JourPrevBPPN0</f>
        <v>0</v>
      </c>
      <c r="D15" s="591">
        <f>JourPrevBRN0</f>
        <v>0</v>
      </c>
    </row>
    <row r="16" spans="1:4" s="279" customFormat="1" ht="24.75" customHeight="1" thickTop="1">
      <c r="A16" s="341"/>
      <c r="B16" s="281" t="s">
        <v>221</v>
      </c>
      <c r="C16" s="598">
        <f>activité!H28</f>
        <v>0</v>
      </c>
      <c r="D16" s="598">
        <f>activité!J28</f>
        <v>0</v>
      </c>
    </row>
    <row r="17" spans="1:4" s="279" customFormat="1" ht="24.75" customHeight="1">
      <c r="A17" s="346"/>
      <c r="B17" s="629" t="s">
        <v>36</v>
      </c>
      <c r="C17" s="593">
        <f>NJrsIntScolBPPN0</f>
        <v>0</v>
      </c>
      <c r="D17" s="593">
        <f>NJrsIntScolBPRN0</f>
        <v>0</v>
      </c>
    </row>
    <row r="18" spans="1:4" s="279" customFormat="1" ht="24.75" customHeight="1">
      <c r="A18" s="342"/>
      <c r="B18" s="282" t="s">
        <v>222</v>
      </c>
      <c r="C18" s="599">
        <f>activité!H29</f>
        <v>0</v>
      </c>
      <c r="D18" s="599">
        <f>activité!J29</f>
        <v>0</v>
      </c>
    </row>
    <row r="19" spans="1:4" s="279" customFormat="1" ht="24.75" customHeight="1" thickBot="1">
      <c r="A19" s="343"/>
      <c r="B19" s="283" t="s">
        <v>223</v>
      </c>
      <c r="C19" s="599">
        <f>activité!H30</f>
        <v>0</v>
      </c>
      <c r="D19" s="599">
        <f>activité!J30</f>
        <v>0</v>
      </c>
    </row>
    <row r="20" spans="1:4" s="279" customFormat="1" ht="30" customHeight="1" thickBot="1">
      <c r="A20" s="336" t="s">
        <v>224</v>
      </c>
      <c r="B20" s="344"/>
      <c r="C20" s="540">
        <f>IF(ISERROR(C12/C15),,C12/C15)</f>
        <v>0</v>
      </c>
      <c r="D20" s="540">
        <f>IF(ISERROR(D12/D15),,D12/D15)</f>
        <v>0</v>
      </c>
    </row>
    <row r="21" spans="1:4" s="279" customFormat="1" ht="24.75" customHeight="1">
      <c r="A21" s="345"/>
      <c r="B21" s="281" t="s">
        <v>221</v>
      </c>
      <c r="C21" s="592">
        <f>FTarifExt_Budgetpro_</f>
        <v>0</v>
      </c>
      <c r="D21" s="592">
        <f>FTarifExt_Budgetret_</f>
        <v>0</v>
      </c>
    </row>
    <row r="22" spans="1:4" s="279" customFormat="1" ht="24.75" customHeight="1">
      <c r="A22" s="346"/>
      <c r="B22" s="629" t="s">
        <v>36</v>
      </c>
      <c r="C22" s="593">
        <f>FTarifIntScol_Budgetpro_</f>
        <v>0</v>
      </c>
      <c r="D22" s="593">
        <f>FTarifIntScol_Budgetret_</f>
        <v>0</v>
      </c>
    </row>
    <row r="23" spans="1:4" s="279" customFormat="1" ht="24.75" customHeight="1">
      <c r="A23" s="346"/>
      <c r="B23" s="282" t="s">
        <v>222</v>
      </c>
      <c r="C23" s="593">
        <f>FTarifSemiInt_Budgetpro_</f>
        <v>0</v>
      </c>
      <c r="D23" s="593">
        <f>FTarifSemiInt_Budgetret_</f>
        <v>0</v>
      </c>
    </row>
    <row r="24" spans="1:4" s="279" customFormat="1" ht="24.75" customHeight="1" thickBot="1">
      <c r="A24" s="347"/>
      <c r="B24" s="283" t="s">
        <v>223</v>
      </c>
      <c r="C24" s="593">
        <f>FTarifInt_Budgetpro_</f>
        <v>0</v>
      </c>
      <c r="D24" s="593">
        <f>FTarifInt_Budgetret_</f>
        <v>0</v>
      </c>
    </row>
    <row r="25" spans="1:4" s="279" customFormat="1" ht="9" customHeight="1" thickBot="1">
      <c r="A25" s="348"/>
      <c r="B25" s="349"/>
      <c r="C25" s="402"/>
      <c r="D25" s="402"/>
    </row>
    <row r="26" spans="1:4" s="279" customFormat="1" ht="30" customHeight="1" thickBot="1">
      <c r="A26" s="336" t="s">
        <v>225</v>
      </c>
      <c r="B26" s="344"/>
      <c r="C26" s="594"/>
      <c r="D26" s="595"/>
    </row>
    <row r="27" spans="1:4" s="280" customFormat="1" ht="30" customHeight="1" thickBot="1">
      <c r="A27" s="336" t="s">
        <v>226</v>
      </c>
      <c r="B27" s="344"/>
      <c r="C27" s="540">
        <f>IF(ISERROR(C12/C26),,C12/C26)</f>
        <v>0</v>
      </c>
      <c r="D27" s="540">
        <f>IF(ISERROR(D12/D26),,D12/D26)</f>
        <v>0</v>
      </c>
    </row>
  </sheetData>
  <sheetProtection password="B34F" sheet="1" formatCells="0" formatColumns="0" formatRows="0"/>
  <mergeCells count="1">
    <mergeCell ref="A1:D1"/>
  </mergeCells>
  <printOptions horizontalCentered="1" verticalCentered="1"/>
  <pageMargins left="0.3937007874015748" right="0.3937007874015748" top="0.5905511811023623" bottom="0.5905511811023623" header="0.3937007874015748" footer="0.3937007874015748"/>
  <pageSetup firstPageNumber="13" useFirstPageNumber="1" fitToHeight="1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TELEBUDGET</dc:title>
  <dc:subject>dirinformatique.com</dc:subject>
  <dc:creator>DIR Informatique</dc:creator>
  <cp:keywords/>
  <dc:description/>
  <cp:lastModifiedBy>Christian Zirgel | Résonance</cp:lastModifiedBy>
  <cp:lastPrinted>2022-09-02T13:52:13Z</cp:lastPrinted>
  <dcterms:created xsi:type="dcterms:W3CDTF">2005-05-11T09:30:02Z</dcterms:created>
  <dcterms:modified xsi:type="dcterms:W3CDTF">2022-10-13T10:06:57Z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diteur">
    <vt:lpwstr>DIR INFORMATIQUE</vt:lpwstr>
  </property>
  <property fmtid="{D5CDD505-2E9C-101B-9397-08002B2CF9AE}" pid="3" name="N° de téléphone">
    <vt:lpwstr>01 69 79 65 50</vt:lpwstr>
  </property>
  <property fmtid="{D5CDD505-2E9C-101B-9397-08002B2CF9AE}" pid="4" name="Web ">
    <vt:lpwstr>dirinformatique.com</vt:lpwstr>
  </property>
</Properties>
</file>